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kwon\Documents\KEEP\PRCS\"/>
    </mc:Choice>
  </mc:AlternateContent>
  <bookViews>
    <workbookView xWindow="0" yWindow="0" windowWidth="19200" windowHeight="6770"/>
  </bookViews>
  <sheets>
    <sheet name="FINAL 2016-2017" sheetId="2" r:id="rId1"/>
    <sheet name="Budget vs. Actuals  Budget 2015" sheetId="1" state="hidden" r:id="rId2"/>
  </sheets>
  <definedNames>
    <definedName name="_xlnm.Print_Area" localSheetId="0">'FINAL 2016-2017'!$A$1:$I$240</definedName>
    <definedName name="_xlnm.Print_Titles" localSheetId="1">'Budget vs. Actuals  Budget 2015'!$1:$7</definedName>
    <definedName name="_xlnm.Print_Titles" localSheetId="0">'FINAL 2016-2017'!$1:$6</definedName>
  </definedNames>
  <calcPr calcId="152511" calcOnSave="0"/>
</workbook>
</file>

<file path=xl/calcChain.xml><?xml version="1.0" encoding="utf-8"?>
<calcChain xmlns="http://schemas.openxmlformats.org/spreadsheetml/2006/main">
  <c r="B223" i="2" l="1"/>
  <c r="B163" i="2" l="1"/>
  <c r="B10" i="2" l="1"/>
  <c r="B151" i="2" l="1"/>
  <c r="C211" i="2" l="1"/>
  <c r="B149" i="2"/>
  <c r="E11" i="2"/>
  <c r="E12" i="2"/>
  <c r="E9" i="2"/>
  <c r="E10" i="2"/>
  <c r="B26" i="2" l="1"/>
  <c r="B215" i="2" l="1"/>
  <c r="E215" i="2" s="1"/>
  <c r="H177" i="2"/>
  <c r="H94" i="2" l="1"/>
  <c r="D217" i="2" l="1"/>
  <c r="E216" i="2"/>
  <c r="C161" i="2" l="1"/>
  <c r="C159" i="2"/>
  <c r="C160" i="2"/>
  <c r="C85" i="2"/>
  <c r="E133" i="2" l="1"/>
  <c r="D142" i="2"/>
  <c r="D136" i="2"/>
  <c r="H126" i="2"/>
  <c r="F126" i="2"/>
  <c r="D126" i="2"/>
  <c r="C126" i="2"/>
  <c r="B126" i="2"/>
  <c r="H110" i="2"/>
  <c r="F110" i="2"/>
  <c r="H86" i="2"/>
  <c r="F86" i="2"/>
  <c r="D86" i="2"/>
  <c r="B86" i="2"/>
  <c r="H47" i="2"/>
  <c r="F47" i="2"/>
  <c r="C47" i="2"/>
  <c r="D32" i="2"/>
  <c r="C32" i="2"/>
  <c r="B12" i="2"/>
  <c r="B83" i="2" l="1"/>
  <c r="E72" i="2"/>
  <c r="B231" i="2"/>
  <c r="B229" i="2"/>
  <c r="B47" i="2"/>
  <c r="B198" i="2" l="1"/>
  <c r="B240" i="2" l="1"/>
  <c r="E163" i="2" l="1"/>
  <c r="E164" i="2"/>
  <c r="B211" i="2" l="1"/>
  <c r="E211" i="2" s="1"/>
  <c r="E63" i="2" l="1"/>
  <c r="C12" i="2" l="1"/>
  <c r="H12" i="2"/>
  <c r="F12" i="2"/>
  <c r="D12" i="2"/>
  <c r="C86" i="2"/>
  <c r="E191" i="2"/>
  <c r="B222" i="2" l="1"/>
  <c r="E121" i="2"/>
  <c r="E35" i="2"/>
  <c r="E36" i="2"/>
  <c r="E119" i="2" l="1"/>
  <c r="C156" i="2"/>
  <c r="C152" i="2" s="1"/>
  <c r="B228" i="2"/>
  <c r="E13" i="2" l="1"/>
  <c r="B16" i="2"/>
  <c r="B110" i="2"/>
  <c r="E87" i="2"/>
  <c r="E85" i="2"/>
  <c r="E86" i="2" s="1"/>
  <c r="C94" i="2"/>
  <c r="C139" i="2"/>
  <c r="C136" i="2" s="1"/>
  <c r="B130" i="2" l="1"/>
  <c r="B131" i="2" s="1"/>
  <c r="C110" i="2"/>
  <c r="E94" i="2"/>
  <c r="C209" i="2"/>
  <c r="C147" i="2"/>
  <c r="C142" i="2" s="1"/>
  <c r="H62" i="2" l="1"/>
  <c r="E117" i="2" l="1"/>
  <c r="B143" i="2"/>
  <c r="B142" i="2" s="1"/>
  <c r="E142" i="2" s="1"/>
  <c r="E113" i="2"/>
  <c r="B230" i="2" l="1"/>
  <c r="B233" i="2" s="1"/>
  <c r="E176" i="2" l="1"/>
  <c r="C206" i="2"/>
  <c r="B248" i="2"/>
  <c r="B251" i="2" s="1"/>
  <c r="D211" i="2"/>
  <c r="D206" i="2"/>
  <c r="D203" i="2"/>
  <c r="D197" i="2"/>
  <c r="D198" i="2"/>
  <c r="D196" i="2"/>
  <c r="D193" i="2"/>
  <c r="D175" i="2"/>
  <c r="D173" i="2"/>
  <c r="D167" i="2"/>
  <c r="D166" i="2"/>
  <c r="D129" i="2"/>
  <c r="D93" i="2"/>
  <c r="D110" i="2" s="1"/>
  <c r="D83" i="2"/>
  <c r="D65" i="2"/>
  <c r="D57" i="2"/>
  <c r="D51" i="2"/>
  <c r="D47" i="2"/>
  <c r="D23" i="2"/>
  <c r="D16" i="2"/>
  <c r="E99" i="2"/>
  <c r="D212" i="2" l="1"/>
  <c r="D130" i="2"/>
  <c r="D131" i="2" s="1"/>
  <c r="D58" i="2"/>
  <c r="D67" i="2" s="1"/>
  <c r="D68" i="2" s="1"/>
  <c r="B153" i="2"/>
  <c r="B152" i="2" s="1"/>
  <c r="B137" i="2"/>
  <c r="B136" i="2" s="1"/>
  <c r="D213" i="2" l="1"/>
  <c r="D214" i="2" s="1"/>
  <c r="E136" i="2"/>
  <c r="E152" i="2"/>
  <c r="B197" i="2" l="1"/>
  <c r="B212" i="2" l="1"/>
  <c r="B213" i="2" s="1"/>
  <c r="E197" i="2"/>
  <c r="H175" i="1"/>
  <c r="C175" i="1"/>
  <c r="B175" i="1"/>
  <c r="E175" i="1" s="1"/>
  <c r="F174" i="1"/>
  <c r="F175" i="1" s="1"/>
  <c r="E174" i="1"/>
  <c r="E173" i="1"/>
  <c r="G173" i="1" s="1"/>
  <c r="H172" i="1"/>
  <c r="H176" i="1" s="1"/>
  <c r="C172" i="1"/>
  <c r="C176" i="1" s="1"/>
  <c r="B172" i="1"/>
  <c r="E172" i="1" s="1"/>
  <c r="F171" i="1"/>
  <c r="F172" i="1" s="1"/>
  <c r="F176" i="1" s="1"/>
  <c r="E171" i="1"/>
  <c r="E170" i="1"/>
  <c r="G170" i="1" s="1"/>
  <c r="C167" i="1"/>
  <c r="F166" i="1"/>
  <c r="E166" i="1"/>
  <c r="G166" i="1" s="1"/>
  <c r="G165" i="1"/>
  <c r="F165" i="1"/>
  <c r="E165" i="1"/>
  <c r="F164" i="1"/>
  <c r="E164" i="1"/>
  <c r="F163" i="1"/>
  <c r="E163" i="1"/>
  <c r="H162" i="1"/>
  <c r="F162" i="1"/>
  <c r="E162" i="1"/>
  <c r="H161" i="1"/>
  <c r="F161" i="1"/>
  <c r="E161" i="1"/>
  <c r="G161" i="1" s="1"/>
  <c r="B161" i="1"/>
  <c r="F160" i="1"/>
  <c r="E160" i="1"/>
  <c r="G160" i="1" s="1"/>
  <c r="H159" i="1"/>
  <c r="F159" i="1"/>
  <c r="E159" i="1"/>
  <c r="F158" i="1"/>
  <c r="E158" i="1"/>
  <c r="G158" i="1" s="1"/>
  <c r="G157" i="1"/>
  <c r="E156" i="1"/>
  <c r="G156" i="1" s="1"/>
  <c r="F155" i="1"/>
  <c r="G155" i="1" s="1"/>
  <c r="E155" i="1"/>
  <c r="E154" i="1"/>
  <c r="G154" i="1" s="1"/>
  <c r="F153" i="1"/>
  <c r="G153" i="1" s="1"/>
  <c r="E153" i="1"/>
  <c r="F152" i="1"/>
  <c r="E152" i="1"/>
  <c r="F151" i="1"/>
  <c r="E151" i="1"/>
  <c r="F150" i="1"/>
  <c r="E150" i="1"/>
  <c r="G150" i="1" s="1"/>
  <c r="F149" i="1"/>
  <c r="B149" i="1"/>
  <c r="E149" i="1" s="1"/>
  <c r="F148" i="1"/>
  <c r="E148" i="1"/>
  <c r="G148" i="1" s="1"/>
  <c r="F147" i="1"/>
  <c r="G147" i="1" s="1"/>
  <c r="E147" i="1"/>
  <c r="F146" i="1"/>
  <c r="E146" i="1"/>
  <c r="G146" i="1" s="1"/>
  <c r="G145" i="1"/>
  <c r="E145" i="1"/>
  <c r="F144" i="1"/>
  <c r="E144" i="1"/>
  <c r="F143" i="1"/>
  <c r="E143" i="1"/>
  <c r="F142" i="1"/>
  <c r="E142" i="1"/>
  <c r="G142" i="1" s="1"/>
  <c r="F141" i="1"/>
  <c r="E141" i="1"/>
  <c r="G141" i="1" s="1"/>
  <c r="F140" i="1"/>
  <c r="G140" i="1" s="1"/>
  <c r="E140" i="1"/>
  <c r="F139" i="1"/>
  <c r="E139" i="1"/>
  <c r="G139" i="1" s="1"/>
  <c r="F138" i="1"/>
  <c r="E138" i="1"/>
  <c r="F137" i="1"/>
  <c r="E137" i="1"/>
  <c r="G137" i="1" s="1"/>
  <c r="F136" i="1"/>
  <c r="G136" i="1" s="1"/>
  <c r="E136" i="1"/>
  <c r="F135" i="1"/>
  <c r="E135" i="1"/>
  <c r="G135" i="1" s="1"/>
  <c r="F134" i="1"/>
  <c r="E134" i="1"/>
  <c r="F133" i="1"/>
  <c r="G133" i="1" s="1"/>
  <c r="E133" i="1"/>
  <c r="F132" i="1"/>
  <c r="E132" i="1"/>
  <c r="F131" i="1"/>
  <c r="E131" i="1"/>
  <c r="F130" i="1"/>
  <c r="E130" i="1"/>
  <c r="G130" i="1" s="1"/>
  <c r="G129" i="1"/>
  <c r="E129" i="1"/>
  <c r="H128" i="1"/>
  <c r="F128" i="1"/>
  <c r="E128" i="1"/>
  <c r="F127" i="1"/>
  <c r="E127" i="1"/>
  <c r="F126" i="1"/>
  <c r="E126" i="1"/>
  <c r="G126" i="1" s="1"/>
  <c r="F125" i="1"/>
  <c r="E125" i="1"/>
  <c r="G125" i="1" s="1"/>
  <c r="F124" i="1"/>
  <c r="G124" i="1" s="1"/>
  <c r="E124" i="1"/>
  <c r="F123" i="1"/>
  <c r="E123" i="1"/>
  <c r="G123" i="1" s="1"/>
  <c r="F122" i="1"/>
  <c r="E122" i="1"/>
  <c r="E121" i="1"/>
  <c r="G121" i="1" s="1"/>
  <c r="F120" i="1"/>
  <c r="E120" i="1"/>
  <c r="E119" i="1"/>
  <c r="G119" i="1" s="1"/>
  <c r="E118" i="1"/>
  <c r="G118" i="1" s="1"/>
  <c r="F117" i="1"/>
  <c r="E117" i="1"/>
  <c r="E116" i="1"/>
  <c r="G116" i="1" s="1"/>
  <c r="H114" i="1"/>
  <c r="C114" i="1"/>
  <c r="B114" i="1"/>
  <c r="E114" i="1" s="1"/>
  <c r="F113" i="1"/>
  <c r="F114" i="1" s="1"/>
  <c r="E113" i="1"/>
  <c r="E112" i="1"/>
  <c r="G112" i="1" s="1"/>
  <c r="F111" i="1"/>
  <c r="C111" i="1"/>
  <c r="B111" i="1"/>
  <c r="E110" i="1"/>
  <c r="G110" i="1" s="1"/>
  <c r="E109" i="1"/>
  <c r="G109" i="1" s="1"/>
  <c r="E108" i="1"/>
  <c r="G108" i="1" s="1"/>
  <c r="E107" i="1"/>
  <c r="G107" i="1" s="1"/>
  <c r="G106" i="1"/>
  <c r="E106" i="1"/>
  <c r="E105" i="1"/>
  <c r="G105" i="1" s="1"/>
  <c r="G104" i="1"/>
  <c r="E104" i="1"/>
  <c r="E103" i="1"/>
  <c r="G103" i="1" s="1"/>
  <c r="E102" i="1"/>
  <c r="G102" i="1" s="1"/>
  <c r="E101" i="1"/>
  <c r="G101" i="1" s="1"/>
  <c r="H100" i="1"/>
  <c r="H111" i="1" s="1"/>
  <c r="E99" i="1"/>
  <c r="G99" i="1" s="1"/>
  <c r="G98" i="1"/>
  <c r="E98" i="1"/>
  <c r="H97" i="1"/>
  <c r="F97" i="1"/>
  <c r="C97" i="1"/>
  <c r="B96" i="1"/>
  <c r="E96" i="1" s="1"/>
  <c r="G96" i="1" s="1"/>
  <c r="E95" i="1"/>
  <c r="G95" i="1" s="1"/>
  <c r="G94" i="1"/>
  <c r="E94" i="1"/>
  <c r="E93" i="1"/>
  <c r="G93" i="1" s="1"/>
  <c r="B92" i="1"/>
  <c r="E92" i="1" s="1"/>
  <c r="G92" i="1" s="1"/>
  <c r="B91" i="1"/>
  <c r="E91" i="1" s="1"/>
  <c r="G91" i="1" s="1"/>
  <c r="E90" i="1"/>
  <c r="G90" i="1" s="1"/>
  <c r="B89" i="1"/>
  <c r="E89" i="1" s="1"/>
  <c r="G89" i="1" s="1"/>
  <c r="B88" i="1"/>
  <c r="E88" i="1" s="1"/>
  <c r="G88" i="1" s="1"/>
  <c r="E87" i="1"/>
  <c r="G87" i="1" s="1"/>
  <c r="B86" i="1"/>
  <c r="E86" i="1" s="1"/>
  <c r="G86" i="1" s="1"/>
  <c r="E85" i="1"/>
  <c r="G85" i="1" s="1"/>
  <c r="E84" i="1"/>
  <c r="G84" i="1" s="1"/>
  <c r="B83" i="1"/>
  <c r="E83" i="1" s="1"/>
  <c r="G83" i="1" s="1"/>
  <c r="E82" i="1"/>
  <c r="G82" i="1" s="1"/>
  <c r="H81" i="1"/>
  <c r="H115" i="1" s="1"/>
  <c r="F81" i="1"/>
  <c r="E81" i="1"/>
  <c r="G81" i="1" s="1"/>
  <c r="C81" i="1"/>
  <c r="B81" i="1"/>
  <c r="E80" i="1"/>
  <c r="G80" i="1" s="1"/>
  <c r="G79" i="1"/>
  <c r="E79" i="1"/>
  <c r="E78" i="1"/>
  <c r="G78" i="1" s="1"/>
  <c r="E77" i="1"/>
  <c r="G77" i="1" s="1"/>
  <c r="E76" i="1"/>
  <c r="G76" i="1" s="1"/>
  <c r="B75" i="1"/>
  <c r="E75" i="1" s="1"/>
  <c r="G75" i="1" s="1"/>
  <c r="E74" i="1"/>
  <c r="G74" i="1" s="1"/>
  <c r="H73" i="1"/>
  <c r="C73" i="1"/>
  <c r="F72" i="1"/>
  <c r="B72" i="1"/>
  <c r="E72" i="1" s="1"/>
  <c r="G72" i="1" s="1"/>
  <c r="G71" i="1"/>
  <c r="E71" i="1"/>
  <c r="F70" i="1"/>
  <c r="E70" i="1"/>
  <c r="G70" i="1" s="1"/>
  <c r="F69" i="1"/>
  <c r="E69" i="1"/>
  <c r="G69" i="1" s="1"/>
  <c r="G68" i="1"/>
  <c r="F68" i="1"/>
  <c r="E68" i="1"/>
  <c r="F67" i="1"/>
  <c r="E67" i="1"/>
  <c r="G67" i="1" s="1"/>
  <c r="F66" i="1"/>
  <c r="E66" i="1"/>
  <c r="E65" i="1"/>
  <c r="G65" i="1" s="1"/>
  <c r="F64" i="1"/>
  <c r="E64" i="1"/>
  <c r="E63" i="1"/>
  <c r="G63" i="1" s="1"/>
  <c r="G62" i="1"/>
  <c r="E62" i="1"/>
  <c r="E61" i="1"/>
  <c r="G61" i="1" s="1"/>
  <c r="E58" i="1"/>
  <c r="G58" i="1" s="1"/>
  <c r="H57" i="1"/>
  <c r="F57" i="1"/>
  <c r="C57" i="1"/>
  <c r="B56" i="1"/>
  <c r="B57" i="1" s="1"/>
  <c r="E57" i="1" s="1"/>
  <c r="G57" i="1" s="1"/>
  <c r="E55" i="1"/>
  <c r="G55" i="1" s="1"/>
  <c r="E54" i="1"/>
  <c r="G54" i="1" s="1"/>
  <c r="H52" i="1"/>
  <c r="F52" i="1"/>
  <c r="C52" i="1"/>
  <c r="B52" i="1"/>
  <c r="E52" i="1" s="1"/>
  <c r="G52" i="1" s="1"/>
  <c r="E51" i="1"/>
  <c r="G51" i="1" s="1"/>
  <c r="E50" i="1"/>
  <c r="G50" i="1" s="1"/>
  <c r="F49" i="1"/>
  <c r="E49" i="1"/>
  <c r="E48" i="1"/>
  <c r="G48" i="1" s="1"/>
  <c r="E47" i="1"/>
  <c r="G47" i="1" s="1"/>
  <c r="H46" i="1"/>
  <c r="F46" i="1"/>
  <c r="C46" i="1"/>
  <c r="E46" i="1" s="1"/>
  <c r="G46" i="1" s="1"/>
  <c r="B46" i="1"/>
  <c r="E45" i="1"/>
  <c r="G45" i="1" s="1"/>
  <c r="E44" i="1"/>
  <c r="G44" i="1" s="1"/>
  <c r="G43" i="1"/>
  <c r="E43" i="1"/>
  <c r="H42" i="1"/>
  <c r="F42" i="1"/>
  <c r="C42" i="1"/>
  <c r="B42" i="1"/>
  <c r="E42" i="1" s="1"/>
  <c r="G42" i="1" s="1"/>
  <c r="G41" i="1"/>
  <c r="E41" i="1"/>
  <c r="E40" i="1"/>
  <c r="G40" i="1" s="1"/>
  <c r="E39" i="1"/>
  <c r="G39" i="1" s="1"/>
  <c r="E38" i="1"/>
  <c r="G38" i="1" s="1"/>
  <c r="E37" i="1"/>
  <c r="G37" i="1" s="1"/>
  <c r="E36" i="1"/>
  <c r="G36" i="1" s="1"/>
  <c r="G35" i="1"/>
  <c r="E35" i="1"/>
  <c r="E34" i="1"/>
  <c r="G34" i="1" s="1"/>
  <c r="G33" i="1"/>
  <c r="E33" i="1"/>
  <c r="E32" i="1"/>
  <c r="G32" i="1" s="1"/>
  <c r="E31" i="1"/>
  <c r="G31" i="1" s="1"/>
  <c r="F30" i="1"/>
  <c r="E30" i="1"/>
  <c r="C29" i="1"/>
  <c r="E28" i="1"/>
  <c r="G28" i="1" s="1"/>
  <c r="E27" i="1"/>
  <c r="G27" i="1" s="1"/>
  <c r="H26" i="1"/>
  <c r="H29" i="1" s="1"/>
  <c r="F26" i="1"/>
  <c r="F29" i="1" s="1"/>
  <c r="C26" i="1"/>
  <c r="B26" i="1"/>
  <c r="B29" i="1" s="1"/>
  <c r="G25" i="1"/>
  <c r="E25" i="1"/>
  <c r="E24" i="1"/>
  <c r="G24" i="1" s="1"/>
  <c r="E23" i="1"/>
  <c r="G23" i="1" s="1"/>
  <c r="E22" i="1"/>
  <c r="G22" i="1" s="1"/>
  <c r="E21" i="1"/>
  <c r="G21" i="1" s="1"/>
  <c r="H20" i="1"/>
  <c r="F20" i="1"/>
  <c r="C20" i="1"/>
  <c r="B20" i="1"/>
  <c r="G19" i="1"/>
  <c r="E19" i="1"/>
  <c r="E18" i="1"/>
  <c r="G18" i="1" s="1"/>
  <c r="E17" i="1"/>
  <c r="G17" i="1" s="1"/>
  <c r="E16" i="1"/>
  <c r="G16" i="1" s="1"/>
  <c r="E15" i="1"/>
  <c r="G15" i="1" s="1"/>
  <c r="E14" i="1"/>
  <c r="G14" i="1" s="1"/>
  <c r="H13" i="1"/>
  <c r="C13" i="1"/>
  <c r="B13" i="1"/>
  <c r="E13" i="1" s="1"/>
  <c r="G13" i="1" s="1"/>
  <c r="F12" i="1"/>
  <c r="F13" i="1" s="1"/>
  <c r="E12" i="1"/>
  <c r="E11" i="1"/>
  <c r="G11" i="1" s="1"/>
  <c r="G10" i="1"/>
  <c r="E10" i="1"/>
  <c r="E9" i="1"/>
  <c r="G9" i="1" s="1"/>
  <c r="E29" i="1" l="1"/>
  <c r="F115" i="1"/>
  <c r="G128" i="1"/>
  <c r="G144" i="1"/>
  <c r="G172" i="1"/>
  <c r="B176" i="1"/>
  <c r="G12" i="1"/>
  <c r="G30" i="1"/>
  <c r="G64" i="1"/>
  <c r="G66" i="1"/>
  <c r="E111" i="1"/>
  <c r="G111" i="1" s="1"/>
  <c r="G117" i="1"/>
  <c r="G127" i="1"/>
  <c r="H167" i="1"/>
  <c r="H168" i="1" s="1"/>
  <c r="H169" i="1" s="1"/>
  <c r="H177" i="1" s="1"/>
  <c r="G132" i="1"/>
  <c r="G134" i="1"/>
  <c r="G143" i="1"/>
  <c r="G152" i="1"/>
  <c r="G159" i="1"/>
  <c r="G163" i="1"/>
  <c r="C53" i="1"/>
  <c r="C59" i="1" s="1"/>
  <c r="C60" i="1" s="1"/>
  <c r="B53" i="1"/>
  <c r="B59" i="1" s="1"/>
  <c r="E56" i="1"/>
  <c r="G56" i="1" s="1"/>
  <c r="G114" i="1"/>
  <c r="G164" i="1"/>
  <c r="F53" i="1"/>
  <c r="F59" i="1" s="1"/>
  <c r="F60" i="1" s="1"/>
  <c r="F169" i="1" s="1"/>
  <c r="F177" i="1" s="1"/>
  <c r="H53" i="1"/>
  <c r="H59" i="1" s="1"/>
  <c r="H60" i="1" s="1"/>
  <c r="G49" i="1"/>
  <c r="F73" i="1"/>
  <c r="F168" i="1" s="1"/>
  <c r="C115" i="1"/>
  <c r="C168" i="1" s="1"/>
  <c r="C169" i="1" s="1"/>
  <c r="C177" i="1" s="1"/>
  <c r="G113" i="1"/>
  <c r="F167" i="1"/>
  <c r="G120" i="1"/>
  <c r="G122" i="1"/>
  <c r="G131" i="1"/>
  <c r="G138" i="1"/>
  <c r="G149" i="1"/>
  <c r="G151" i="1"/>
  <c r="G162" i="1"/>
  <c r="B167" i="1"/>
  <c r="E167" i="1" s="1"/>
  <c r="G171" i="1"/>
  <c r="G174" i="1"/>
  <c r="G167" i="1"/>
  <c r="G175" i="1"/>
  <c r="E53" i="1"/>
  <c r="G53" i="1" s="1"/>
  <c r="G29" i="1"/>
  <c r="E176" i="1"/>
  <c r="G176" i="1" s="1"/>
  <c r="B73" i="1"/>
  <c r="B97" i="1"/>
  <c r="E97" i="1" s="1"/>
  <c r="G97" i="1" s="1"/>
  <c r="B115" i="1"/>
  <c r="E20" i="1"/>
  <c r="G20" i="1" s="1"/>
  <c r="E26" i="1"/>
  <c r="G26" i="1" s="1"/>
  <c r="E59" i="2"/>
  <c r="C16" i="2"/>
  <c r="H206" i="2"/>
  <c r="H196" i="2"/>
  <c r="H129" i="2"/>
  <c r="H93" i="2"/>
  <c r="H83" i="2"/>
  <c r="H57" i="2"/>
  <c r="H51" i="2"/>
  <c r="H26" i="2"/>
  <c r="H32" i="2" s="1"/>
  <c r="H23" i="2"/>
  <c r="H16" i="2"/>
  <c r="H58" i="2" l="1"/>
  <c r="E115" i="1"/>
  <c r="G115" i="1" s="1"/>
  <c r="H212" i="2"/>
  <c r="H130" i="2"/>
  <c r="H131" i="2" s="1"/>
  <c r="B60" i="1"/>
  <c r="E59" i="1"/>
  <c r="G59" i="1" s="1"/>
  <c r="E73" i="1"/>
  <c r="G73" i="1" s="1"/>
  <c r="B168" i="1"/>
  <c r="E168" i="1" s="1"/>
  <c r="G168" i="1" s="1"/>
  <c r="H65" i="2"/>
  <c r="H67" i="2" l="1"/>
  <c r="H68" i="2" s="1"/>
  <c r="H213" i="2"/>
  <c r="B169" i="1"/>
  <c r="E60" i="1"/>
  <c r="G60" i="1" s="1"/>
  <c r="B177" i="1" l="1"/>
  <c r="E177" i="1" s="1"/>
  <c r="G177" i="1" s="1"/>
  <c r="E169" i="1"/>
  <c r="G169" i="1" s="1"/>
  <c r="H214" i="2"/>
  <c r="H217" i="2" s="1"/>
  <c r="E25" i="2" l="1"/>
  <c r="E14" i="2" l="1"/>
  <c r="B31" i="2" l="1"/>
  <c r="E61" i="2"/>
  <c r="E62" i="2"/>
  <c r="B32" i="2" l="1"/>
  <c r="B58" i="2" s="1"/>
  <c r="E169" i="2"/>
  <c r="E168" i="2"/>
  <c r="E165" i="2"/>
  <c r="B65" i="2"/>
  <c r="C203" i="2"/>
  <c r="C198" i="2"/>
  <c r="C196" i="2"/>
  <c r="C193" i="2"/>
  <c r="C173" i="2"/>
  <c r="C167" i="2"/>
  <c r="C166" i="2"/>
  <c r="C129" i="2"/>
  <c r="C93" i="2"/>
  <c r="C83" i="2"/>
  <c r="C65" i="2"/>
  <c r="C57" i="2"/>
  <c r="C51" i="2"/>
  <c r="C23" i="2"/>
  <c r="E210" i="2"/>
  <c r="E209" i="2"/>
  <c r="E208" i="2"/>
  <c r="E207" i="2"/>
  <c r="E205" i="2"/>
  <c r="E204" i="2"/>
  <c r="F203" i="2"/>
  <c r="E202" i="2"/>
  <c r="E201" i="2"/>
  <c r="E200" i="2"/>
  <c r="E199" i="2"/>
  <c r="F198" i="2"/>
  <c r="E192" i="2"/>
  <c r="E195" i="2"/>
  <c r="F193" i="2"/>
  <c r="E190" i="2"/>
  <c r="E188" i="2"/>
  <c r="E187" i="2"/>
  <c r="E186" i="2"/>
  <c r="E185" i="2"/>
  <c r="E184" i="2"/>
  <c r="E183" i="2"/>
  <c r="E182" i="2"/>
  <c r="E181" i="2"/>
  <c r="E180" i="2"/>
  <c r="E179" i="2"/>
  <c r="E177" i="2"/>
  <c r="F173" i="2"/>
  <c r="E172" i="2"/>
  <c r="E171" i="2"/>
  <c r="E170" i="2"/>
  <c r="F129" i="2"/>
  <c r="E128" i="2"/>
  <c r="E127" i="2"/>
  <c r="E125" i="2"/>
  <c r="E124" i="2"/>
  <c r="E123" i="2"/>
  <c r="E122" i="2"/>
  <c r="E120" i="2"/>
  <c r="E118" i="2"/>
  <c r="E116" i="2"/>
  <c r="E115" i="2"/>
  <c r="E114" i="2"/>
  <c r="E112" i="2"/>
  <c r="E111" i="2"/>
  <c r="E109" i="2"/>
  <c r="E108" i="2"/>
  <c r="E95" i="2"/>
  <c r="F93" i="2"/>
  <c r="E92" i="2"/>
  <c r="E91" i="2"/>
  <c r="E90" i="2"/>
  <c r="E89" i="2"/>
  <c r="E88" i="2"/>
  <c r="F83" i="2"/>
  <c r="E80" i="2"/>
  <c r="E78" i="2"/>
  <c r="E76" i="2"/>
  <c r="E75" i="2"/>
  <c r="E73" i="2"/>
  <c r="B66" i="2"/>
  <c r="E66" i="2" s="1"/>
  <c r="F65" i="2"/>
  <c r="E64" i="2"/>
  <c r="E60" i="2"/>
  <c r="F57" i="2"/>
  <c r="E56" i="2"/>
  <c r="E55" i="2"/>
  <c r="E54" i="2"/>
  <c r="E53" i="2"/>
  <c r="E52" i="2"/>
  <c r="F51" i="2"/>
  <c r="E50" i="2"/>
  <c r="E49" i="2"/>
  <c r="E48" i="2"/>
  <c r="E46" i="2"/>
  <c r="E42" i="2"/>
  <c r="E45" i="2"/>
  <c r="E44" i="2"/>
  <c r="E43" i="2"/>
  <c r="E41" i="2"/>
  <c r="E40" i="2"/>
  <c r="E39" i="2"/>
  <c r="E38" i="2"/>
  <c r="E37" i="2"/>
  <c r="E34" i="2"/>
  <c r="E33" i="2"/>
  <c r="E31" i="2"/>
  <c r="E30" i="2"/>
  <c r="F29" i="2"/>
  <c r="F32" i="2" s="1"/>
  <c r="E28" i="2"/>
  <c r="F23" i="2"/>
  <c r="E22" i="2"/>
  <c r="E21" i="2"/>
  <c r="E20" i="2"/>
  <c r="E19" i="2"/>
  <c r="E18" i="2"/>
  <c r="E17" i="2"/>
  <c r="F16" i="2"/>
  <c r="E15" i="2"/>
  <c r="E16" i="2" s="1"/>
  <c r="C58" i="2" l="1"/>
  <c r="C67" i="2" s="1"/>
  <c r="F58" i="2"/>
  <c r="F67" i="2" s="1"/>
  <c r="F68" i="2" s="1"/>
  <c r="B67" i="2"/>
  <c r="B214" i="2" s="1"/>
  <c r="E65" i="2"/>
  <c r="E83" i="2"/>
  <c r="F212" i="2"/>
  <c r="E126" i="2"/>
  <c r="C212" i="2"/>
  <c r="C130" i="2"/>
  <c r="C131" i="2" s="1"/>
  <c r="F130" i="2"/>
  <c r="F131" i="2" s="1"/>
  <c r="E110" i="2"/>
  <c r="E47" i="2"/>
  <c r="E175" i="2"/>
  <c r="E203" i="2"/>
  <c r="E193" i="2"/>
  <c r="E166" i="2"/>
  <c r="E212" i="2" s="1"/>
  <c r="E198" i="2"/>
  <c r="E167" i="2"/>
  <c r="E196" i="2"/>
  <c r="E206" i="2"/>
  <c r="E23" i="2"/>
  <c r="E173" i="2"/>
  <c r="E51" i="2"/>
  <c r="E57" i="2"/>
  <c r="E129" i="2"/>
  <c r="E93" i="2"/>
  <c r="E27" i="2"/>
  <c r="E26" i="2"/>
  <c r="E194" i="2"/>
  <c r="E29" i="2"/>
  <c r="E174" i="2"/>
  <c r="B217" i="2" l="1"/>
  <c r="F213" i="2"/>
  <c r="C213" i="2"/>
  <c r="E130" i="2"/>
  <c r="E131" i="2" s="1"/>
  <c r="E213" i="2" s="1"/>
  <c r="E32" i="2"/>
  <c r="E58" i="2" s="1"/>
  <c r="E67" i="2" s="1"/>
  <c r="C68" i="2"/>
  <c r="B219" i="2" l="1"/>
  <c r="F218" i="2" s="1"/>
  <c r="C214" i="2"/>
  <c r="E214" i="2" s="1"/>
  <c r="B68" i="2"/>
  <c r="F214" i="2"/>
  <c r="C217" i="2" l="1"/>
  <c r="E217" i="2" s="1"/>
  <c r="F219" i="2"/>
  <c r="F217" i="2"/>
  <c r="E68" i="2" l="1"/>
</calcChain>
</file>

<file path=xl/sharedStrings.xml><?xml version="1.0" encoding="utf-8"?>
<sst xmlns="http://schemas.openxmlformats.org/spreadsheetml/2006/main" count="446" uniqueCount="287">
  <si>
    <t xml:space="preserve">   Booster Fundraising</t>
  </si>
  <si>
    <t xml:space="preserve">      Corporate Sponsor</t>
  </si>
  <si>
    <t xml:space="preserve">         Corporate Sponsors</t>
  </si>
  <si>
    <t xml:space="preserve">         Prior Year Dine Out</t>
  </si>
  <si>
    <t xml:space="preserve">      Total Corporate Sponsor</t>
  </si>
  <si>
    <t xml:space="preserve">      Fall Gala</t>
  </si>
  <si>
    <t xml:space="preserve">         Gala Balloons</t>
  </si>
  <si>
    <t xml:space="preserve">         Gala Sponsor</t>
  </si>
  <si>
    <t xml:space="preserve">         Gala Tickets</t>
  </si>
  <si>
    <t xml:space="preserve">         Gala Tickets Staff</t>
  </si>
  <si>
    <t xml:space="preserve">      Total Fall Gala</t>
  </si>
  <si>
    <t xml:space="preserve">      GIFT Campaign</t>
  </si>
  <si>
    <t xml:space="preserve">         GIFT Corporate Matching</t>
  </si>
  <si>
    <t xml:space="preserve">            GIFT Income CC Full Payment</t>
  </si>
  <si>
    <t xml:space="preserve">            GIFT Income CC Installments</t>
  </si>
  <si>
    <t xml:space="preserve">         Total GIFT Income</t>
  </si>
  <si>
    <t xml:space="preserve">      Total GIFT Campaign</t>
  </si>
  <si>
    <t xml:space="preserve">      Golf Tournament</t>
  </si>
  <si>
    <t xml:space="preserve">         Golf Corporate Sponsors</t>
  </si>
  <si>
    <t xml:space="preserve">         Golf Dinner</t>
  </si>
  <si>
    <t xml:space="preserve">         Golf Dinner Teachers</t>
  </si>
  <si>
    <t xml:space="preserve">         Golf Donation</t>
  </si>
  <si>
    <t xml:space="preserve">         Golf Live Auction</t>
  </si>
  <si>
    <t xml:space="preserve">         Golf Mulligans</t>
  </si>
  <si>
    <t xml:space="preserve">         Golf Silent Auction</t>
  </si>
  <si>
    <t xml:space="preserve">         Golfers</t>
  </si>
  <si>
    <t xml:space="preserve">         Prior Year Golf Corporate Sponsors</t>
  </si>
  <si>
    <t xml:space="preserve">         Raffles</t>
  </si>
  <si>
    <t xml:space="preserve">         Shirts and Visors</t>
  </si>
  <si>
    <t xml:space="preserve">      Total Golf Tournament</t>
  </si>
  <si>
    <t xml:space="preserve">      Gym Clothes</t>
  </si>
  <si>
    <t xml:space="preserve">      Middle School/Leadership</t>
  </si>
  <si>
    <t xml:space="preserve">         Prior Year Middle School/Leadership</t>
  </si>
  <si>
    <t xml:space="preserve">      Total Middle School/Leadership</t>
  </si>
  <si>
    <t xml:space="preserve">      Polo Shirt</t>
  </si>
  <si>
    <t xml:space="preserve">      Spelling Bee</t>
  </si>
  <si>
    <t xml:space="preserve">      Walk-a-thon</t>
  </si>
  <si>
    <t xml:space="preserve">      Yearbook</t>
  </si>
  <si>
    <t xml:space="preserve">         Prior Year Yearbook</t>
  </si>
  <si>
    <t xml:space="preserve">      Total Yearbook</t>
  </si>
  <si>
    <t xml:space="preserve">   Total Booster Fundraising</t>
  </si>
  <si>
    <t xml:space="preserve">      Community Organizations</t>
  </si>
  <si>
    <t xml:space="preserve">   Refund/Overpayment</t>
  </si>
  <si>
    <t>Gross Profit</t>
  </si>
  <si>
    <t xml:space="preserve">   Booster Club Operating Expenses</t>
  </si>
  <si>
    <t xml:space="preserve">      Bank Charges</t>
  </si>
  <si>
    <t xml:space="preserve">      Community Membership</t>
  </si>
  <si>
    <t xml:space="preserve">      Filing Fees</t>
  </si>
  <si>
    <t xml:space="preserve">      Insurance - Liability</t>
  </si>
  <si>
    <t xml:space="preserve">      Legal &amp; Professional Fees</t>
  </si>
  <si>
    <t xml:space="preserve">      Online Accounting Program</t>
  </si>
  <si>
    <t xml:space="preserve">      Sponsorship Acknowledgement</t>
  </si>
  <si>
    <t xml:space="preserve">      Taxes &amp; Licenses</t>
  </si>
  <si>
    <t xml:space="preserve">   Total Booster Club Operating Expenses</t>
  </si>
  <si>
    <t xml:space="preserve">   Booster Committee Fundraising Expenses</t>
  </si>
  <si>
    <t xml:space="preserve">      Corporate Sponsor Banners</t>
  </si>
  <si>
    <t xml:space="preserve">      GIFT Campaign Expense</t>
  </si>
  <si>
    <t xml:space="preserve">         Food for Socials</t>
  </si>
  <si>
    <t xml:space="preserve">         GIFT Campaign Flyers</t>
  </si>
  <si>
    <t xml:space="preserve">         GIFT Campaign Stickers</t>
  </si>
  <si>
    <t xml:space="preserve">         GIFT Incentives</t>
  </si>
  <si>
    <t xml:space="preserve">         GIFT T shirts</t>
  </si>
  <si>
    <t xml:space="preserve">         PayPal Processing Fees</t>
  </si>
  <si>
    <t xml:space="preserve">         Tables &amp; Decorations</t>
  </si>
  <si>
    <t xml:space="preserve">      Total GIFT Campaign Expense</t>
  </si>
  <si>
    <t xml:space="preserve">      Yearbooks</t>
  </si>
  <si>
    <t xml:space="preserve">      Total Yearbooks</t>
  </si>
  <si>
    <t xml:space="preserve">   Total Booster Committee Fundraising Expenses</t>
  </si>
  <si>
    <t xml:space="preserve">   Grants</t>
  </si>
  <si>
    <t xml:space="preserve">      Accelerated Reader Online Reading Program</t>
  </si>
  <si>
    <t xml:space="preserve">      Anti Bullying Materials</t>
  </si>
  <si>
    <t xml:space="preserve">      Art Contest Postage</t>
  </si>
  <si>
    <t xml:space="preserve">      Chorus Materials</t>
  </si>
  <si>
    <t xml:space="preserve">      Computer Lab Teacher</t>
  </si>
  <si>
    <t xml:space="preserve">      Core Literature Classroom Books</t>
  </si>
  <si>
    <t xml:space="preserve">      Dance Instructor</t>
  </si>
  <si>
    <t xml:space="preserve">      Field Trips</t>
  </si>
  <si>
    <t xml:space="preserve">      Kinder/1st Online Reading Program</t>
  </si>
  <si>
    <t xml:space="preserve">      Librarian</t>
  </si>
  <si>
    <t xml:space="preserve">      Middle School Curriculum</t>
  </si>
  <si>
    <t xml:space="preserve">      Middle School Events</t>
  </si>
  <si>
    <t xml:space="preserve">      Middle School Grammar Books</t>
  </si>
  <si>
    <t xml:space="preserve">      Middle School Mural</t>
  </si>
  <si>
    <t xml:space="preserve">      Middle School Office</t>
  </si>
  <si>
    <t xml:space="preserve">      Middle School Staffing</t>
  </si>
  <si>
    <t xml:space="preserve">      Middle School Workbooks</t>
  </si>
  <si>
    <t xml:space="preserve">      Science Lab Materials</t>
  </si>
  <si>
    <t xml:space="preserve">      Science Lab TA</t>
  </si>
  <si>
    <t xml:space="preserve">      Staff Development - School wide</t>
  </si>
  <si>
    <t xml:space="preserve">      Teacher Supply Stipend</t>
  </si>
  <si>
    <t xml:space="preserve">      Teacher Training</t>
  </si>
  <si>
    <t xml:space="preserve">      Teaching Supplies</t>
  </si>
  <si>
    <t xml:space="preserve">      Teaching Supplies/Planners</t>
  </si>
  <si>
    <t xml:space="preserve">      Technology Equipment</t>
  </si>
  <si>
    <t xml:space="preserve">      Web Support</t>
  </si>
  <si>
    <t xml:space="preserve">      Website Hosting/ Domain Name</t>
  </si>
  <si>
    <t xml:space="preserve">      Yearbooks for Library/Admin.</t>
  </si>
  <si>
    <t xml:space="preserve">      YMCA Play Program</t>
  </si>
  <si>
    <t xml:space="preserve">   Total Grants</t>
  </si>
  <si>
    <t>Net Operating Income</t>
  </si>
  <si>
    <t>Friends of Porter Ranch Community School</t>
  </si>
  <si>
    <t>Notes:</t>
  </si>
  <si>
    <t>Paid in PY (for 2015-16)</t>
  </si>
  <si>
    <t xml:space="preserve">         Gala Teacher Auction</t>
  </si>
  <si>
    <t xml:space="preserve">   Misc. Income</t>
  </si>
  <si>
    <t xml:space="preserve">      Credit Card Fees</t>
  </si>
  <si>
    <t xml:space="preserve">         Fall Gala Decorations</t>
  </si>
  <si>
    <t xml:space="preserve">         Fall Gala Dinner Cost</t>
  </si>
  <si>
    <t xml:space="preserve">         Fall Gala Entertainment</t>
  </si>
  <si>
    <t xml:space="preserve">         GIFT Campaign Banners</t>
  </si>
  <si>
    <t xml:space="preserve">         GIFT Campaign Postage</t>
  </si>
  <si>
    <t xml:space="preserve">         Auction/Raffle</t>
  </si>
  <si>
    <t xml:space="preserve">         Childcare Costs</t>
  </si>
  <si>
    <t xml:space="preserve">         Decorations &amp; Supplies</t>
  </si>
  <si>
    <t xml:space="preserve">         DJ</t>
  </si>
  <si>
    <t xml:space="preserve">         Golf Club</t>
  </si>
  <si>
    <t xml:space="preserve">         Golf PayPal Fees</t>
  </si>
  <si>
    <t xml:space="preserve">         Golf Tournament Deposit</t>
  </si>
  <si>
    <t xml:space="preserve">         Photographer</t>
  </si>
  <si>
    <t xml:space="preserve">         T-Shirts</t>
  </si>
  <si>
    <t xml:space="preserve">         Tips for Waiters/Golf Staff</t>
  </si>
  <si>
    <t xml:space="preserve">      Reading Garden</t>
  </si>
  <si>
    <t xml:space="preserve">      Student Awards - Academic Achievement</t>
  </si>
  <si>
    <t xml:space="preserve">         GIFT t-shirts</t>
  </si>
  <si>
    <t xml:space="preserve">         Prior Year GIFT Corporate Matching</t>
  </si>
  <si>
    <t xml:space="preserve">   Total Misc. Income</t>
  </si>
  <si>
    <t xml:space="preserve">         GIFT VIP Family Party at Mountasia</t>
  </si>
  <si>
    <t xml:space="preserve">      Scholastic News</t>
  </si>
  <si>
    <t xml:space="preserve">      Office Expenses</t>
  </si>
  <si>
    <t xml:space="preserve">         GIFT Lunch with Principal</t>
  </si>
  <si>
    <t xml:space="preserve">         GIFT Middle School Dance &amp; Lunch</t>
  </si>
  <si>
    <t xml:space="preserve">      Reading Materials - Time for Kids</t>
  </si>
  <si>
    <t xml:space="preserve">      Robotics Pilot Class</t>
  </si>
  <si>
    <t xml:space="preserve">         Constant Contact</t>
  </si>
  <si>
    <t xml:space="preserve">         Prior Year Advertising/Promotional</t>
  </si>
  <si>
    <t xml:space="preserve">         Other Golf Tournament Expenses</t>
  </si>
  <si>
    <t xml:space="preserve">      Tae Kwon Do</t>
  </si>
  <si>
    <t xml:space="preserve">         Teacher Luncheon &amp; Gifts</t>
  </si>
  <si>
    <t xml:space="preserve">      Hidden Creek Donation</t>
  </si>
  <si>
    <t xml:space="preserve">      PE Equipment</t>
  </si>
  <si>
    <t>Income/Contributions</t>
  </si>
  <si>
    <t xml:space="preserve">         GIFT Income/Contributions</t>
  </si>
  <si>
    <t>Total Income/Contributions</t>
  </si>
  <si>
    <t>Expenses &amp; Grants</t>
  </si>
  <si>
    <t xml:space="preserve">      Accelerated Reader (AR) Training</t>
  </si>
  <si>
    <t xml:space="preserve">      RAZ Kids</t>
  </si>
  <si>
    <t xml:space="preserve">      Administrative Support</t>
  </si>
  <si>
    <t>Total Expenses &amp; Grants</t>
  </si>
  <si>
    <t>Beginning Cash Balance</t>
  </si>
  <si>
    <t xml:space="preserve">      Arts Academy (Grades K-2)</t>
  </si>
  <si>
    <t xml:space="preserve">      Leadership Academy (Grades 6-8)</t>
  </si>
  <si>
    <t xml:space="preserve">      STEM Academy (Grades 3-5)</t>
  </si>
  <si>
    <t xml:space="preserve">      Academy Enrichment &amp; Development</t>
  </si>
  <si>
    <t>Total for 2015-16</t>
  </si>
  <si>
    <t>A</t>
  </si>
  <si>
    <t>B</t>
  </si>
  <si>
    <t>C = A + B</t>
  </si>
  <si>
    <t>D</t>
  </si>
  <si>
    <t>E = C - D</t>
  </si>
  <si>
    <t>F</t>
  </si>
  <si>
    <t xml:space="preserve">      Science Workshops - 6th Grade</t>
  </si>
  <si>
    <t xml:space="preserve">         GIFT Academy T shirts</t>
  </si>
  <si>
    <t xml:space="preserve">      8th Grade Leadership Trip</t>
  </si>
  <si>
    <t xml:space="preserve">      8th Grade Magic Mtn Buses</t>
  </si>
  <si>
    <t xml:space="preserve">      Pali Camp/Catalina</t>
  </si>
  <si>
    <t>ACTUALS
2015 - 2016</t>
  </si>
  <si>
    <t>Over/(Under) Budget</t>
  </si>
  <si>
    <t>[A]</t>
  </si>
  <si>
    <t xml:space="preserve">      Nurse</t>
  </si>
  <si>
    <t xml:space="preserve">Budget vs. Actuals: Budget 2015-16 - FY16 P&amp;L </t>
  </si>
  <si>
    <t>July 1, 2015 - June 30, 2016</t>
  </si>
  <si>
    <t>Total</t>
  </si>
  <si>
    <t>Actual YTD</t>
  </si>
  <si>
    <t>Budget</t>
  </si>
  <si>
    <t>Vs. Budget</t>
  </si>
  <si>
    <t>Total for 2014-15</t>
  </si>
  <si>
    <t>Income</t>
  </si>
  <si>
    <t xml:space="preserve">         GIFT Income</t>
  </si>
  <si>
    <t>Total Income</t>
  </si>
  <si>
    <t>Expenses</t>
  </si>
  <si>
    <t xml:space="preserve">      4th Grade Gold Rush Trip/Production</t>
  </si>
  <si>
    <t xml:space="preserve">      6th Grade Getty Villa Trip</t>
  </si>
  <si>
    <t xml:space="preserve">      Administrative  Support</t>
  </si>
  <si>
    <t xml:space="preserve">      Aides for Classrooms</t>
  </si>
  <si>
    <t>a</t>
  </si>
  <si>
    <t xml:space="preserve">      CPR Staff Training</t>
  </si>
  <si>
    <t xml:space="preserve">      Educational Coordinator/Aide</t>
  </si>
  <si>
    <t xml:space="preserve">      Engineering Teacher Training</t>
  </si>
  <si>
    <t xml:space="preserve">      IXL Online Math Program</t>
  </si>
  <si>
    <t xml:space="preserve">      Robotics</t>
  </si>
  <si>
    <t xml:space="preserve">      Social Justice Training</t>
  </si>
  <si>
    <t>Total Expenses</t>
  </si>
  <si>
    <t>Other Income</t>
  </si>
  <si>
    <t xml:space="preserve">   Interest Earned</t>
  </si>
  <si>
    <t>Total Other Income</t>
  </si>
  <si>
    <t>Other Expenses</t>
  </si>
  <si>
    <t xml:space="preserve">   Other Miscellaneous Expense</t>
  </si>
  <si>
    <t>Total Other Expenses</t>
  </si>
  <si>
    <t>Net Other Income</t>
  </si>
  <si>
    <t>Net Income</t>
  </si>
  <si>
    <r>
      <t xml:space="preserve">a </t>
    </r>
    <r>
      <rPr>
        <sz val="8"/>
        <color indexed="8"/>
        <rFont val="Arial"/>
        <family val="2"/>
      </rPr>
      <t>Check dated July 1, 2015 was cashed by LAUSD on 6/16/2015</t>
    </r>
  </si>
  <si>
    <t>Sunday, August 14, 2016 - Cash Basis</t>
  </si>
  <si>
    <t xml:space="preserve">      Pali Camp</t>
  </si>
  <si>
    <t>Pali Camp - Collected</t>
  </si>
  <si>
    <t>Pali Camp - Paid</t>
  </si>
  <si>
    <t xml:space="preserve">      Wordly Wise</t>
  </si>
  <si>
    <t>Field Trips</t>
  </si>
  <si>
    <t>Kinder - 3 buses</t>
  </si>
  <si>
    <t>1st - 2 buses</t>
  </si>
  <si>
    <t>2nd - 2 buses</t>
  </si>
  <si>
    <t>4th - 3 buses</t>
  </si>
  <si>
    <t>5th - 2 buses</t>
  </si>
  <si>
    <t>PY: 8th Grade Leadership Trip ($588), 8th Grade Magic Mtn Buses ($850), Pali/Catalina ($300)</t>
  </si>
  <si>
    <t>Current Year: 3rd Grade Santa Susana Pass State Historic Park ($350), 5th Grade to Ronald Reagan Museum ($700)</t>
  </si>
  <si>
    <t xml:space="preserve">           Academy T-Shirts</t>
  </si>
  <si>
    <t xml:space="preserve">           Field Trips</t>
  </si>
  <si>
    <t xml:space="preserve">           Core Literature Books</t>
  </si>
  <si>
    <t xml:space="preserve">           Supplies for Leadership Class</t>
  </si>
  <si>
    <t xml:space="preserve">           Dance Program</t>
  </si>
  <si>
    <t xml:space="preserve">           Theater Program</t>
  </si>
  <si>
    <t>ORIGINAL BUDGET 2016-2017</t>
  </si>
  <si>
    <t>REVISED BUDGET 2016-2017</t>
  </si>
  <si>
    <t>KDLP - 3 buses</t>
  </si>
  <si>
    <t>3rd - 2 buses (plus 1 extra bus)</t>
  </si>
  <si>
    <t xml:space="preserve">      Tae Kwon Do (2nd grade)</t>
  </si>
  <si>
    <t xml:space="preserve">      Drums (3rd grade)</t>
  </si>
  <si>
    <t xml:space="preserve">      PRCS Running Club</t>
  </si>
  <si>
    <t xml:space="preserve">           Director Stipend</t>
  </si>
  <si>
    <t xml:space="preserve">           Professional Development</t>
  </si>
  <si>
    <t xml:space="preserve">           Science Materials</t>
  </si>
  <si>
    <t xml:space="preserve">      After-School Enrichment</t>
  </si>
  <si>
    <t xml:space="preserve">         Golf Raffle</t>
  </si>
  <si>
    <t xml:space="preserve">      Total Golf Tournament </t>
  </si>
  <si>
    <t xml:space="preserve">           Art Supplies</t>
  </si>
  <si>
    <t xml:space="preserve">      5K Run</t>
  </si>
  <si>
    <t xml:space="preserve">           IXL Learning</t>
  </si>
  <si>
    <t xml:space="preserve">           STEM Supplies</t>
  </si>
  <si>
    <t xml:space="preserve">         Golf Caddyshack Pin Flag</t>
  </si>
  <si>
    <t xml:space="preserve">         Golf Challenge Package</t>
  </si>
  <si>
    <t xml:space="preserve">         Advertising/Promotional</t>
  </si>
  <si>
    <t xml:space="preserve">         Food &amp; Drinks</t>
  </si>
  <si>
    <t xml:space="preserve">         Golf Tees</t>
  </si>
  <si>
    <t xml:space="preserve">      Play Structure</t>
  </si>
  <si>
    <t xml:space="preserve">      Total 5K Run</t>
  </si>
  <si>
    <t>Total Booster Committee Expenses</t>
  </si>
  <si>
    <t xml:space="preserve">      Total 5K Run Expense</t>
  </si>
  <si>
    <t xml:space="preserve">      Sunshine Canyon Grant</t>
  </si>
  <si>
    <t xml:space="preserve">           Laptops</t>
  </si>
  <si>
    <t>Riley's Camp - Paid</t>
  </si>
  <si>
    <t>Riley's Camp - Collected</t>
  </si>
  <si>
    <t xml:space="preserve">      5th Grade Celebration</t>
  </si>
  <si>
    <t xml:space="preserve">      8th Grade Culmination</t>
  </si>
  <si>
    <t xml:space="preserve">         Vendor Donations</t>
  </si>
  <si>
    <t>5th Grade Funds</t>
  </si>
  <si>
    <t>Skateland</t>
  </si>
  <si>
    <t>8th Grade Funds</t>
  </si>
  <si>
    <t>Magic Mountain - Collected</t>
  </si>
  <si>
    <t>Magic Mountain - Paid</t>
  </si>
  <si>
    <t>TOTAL</t>
  </si>
  <si>
    <t>ACTUAL YTD 2016 - 2017</t>
  </si>
  <si>
    <t>Projected Ending Cash Balance</t>
  </si>
  <si>
    <t>Play Structure</t>
  </si>
  <si>
    <t>Proposed Budget for 2017-2018</t>
  </si>
  <si>
    <t xml:space="preserve">      Technology - laptops</t>
  </si>
  <si>
    <t xml:space="preserve">      Accelerated Reader (AR) Service</t>
  </si>
  <si>
    <t xml:space="preserve">      Field Trips (K-5)</t>
  </si>
  <si>
    <t xml:space="preserve">      Leader in Me (schoolwide)</t>
  </si>
  <si>
    <t xml:space="preserve">      5K Runners</t>
  </si>
  <si>
    <t xml:space="preserve">      5K Sponsors</t>
  </si>
  <si>
    <t xml:space="preserve">      Porter Valley Country Club</t>
  </si>
  <si>
    <t xml:space="preserve">   Misc. Income/Contributions</t>
  </si>
  <si>
    <t xml:space="preserve">           Chair Stipends</t>
  </si>
  <si>
    <t>STEAM for 2017-2018</t>
  </si>
  <si>
    <t xml:space="preserve">           Engineering is Elementary</t>
  </si>
  <si>
    <t xml:space="preserve">           Other - Rockhounds</t>
  </si>
  <si>
    <t>Interest Earned</t>
  </si>
  <si>
    <t>5th Grade Reimbursements (net)</t>
  </si>
  <si>
    <t>* Includes bricks from PY of $3,852.50</t>
  </si>
  <si>
    <t>Sub-total</t>
  </si>
  <si>
    <t xml:space="preserve">      5K Donations</t>
  </si>
  <si>
    <t xml:space="preserve">      Library Supplies</t>
  </si>
  <si>
    <t>As of June 30, 2017</t>
  </si>
  <si>
    <t>2016 - 2017</t>
  </si>
  <si>
    <t>FINAL FY2017 Financials</t>
  </si>
  <si>
    <t>5K Run</t>
  </si>
  <si>
    <t>* August - April</t>
  </si>
  <si>
    <t>YMCA Play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</si>
</sst>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7" x14ac:knownFonts="1"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9"/>
      <name val="Arial"/>
      <family val="2"/>
    </font>
    <font>
      <sz val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39" fontId="3" fillId="0" borderId="0" xfId="0" applyNumberFormat="1" applyFont="1" applyAlignment="1">
      <alignment wrapText="1"/>
    </xf>
    <xf numFmtId="41" fontId="3" fillId="0" borderId="0" xfId="0" applyNumberFormat="1" applyFont="1" applyAlignment="1">
      <alignment wrapText="1"/>
    </xf>
    <xf numFmtId="41" fontId="2" fillId="0" borderId="2" xfId="0" applyNumberFormat="1" applyFont="1" applyBorder="1" applyAlignment="1">
      <alignment wrapText="1"/>
    </xf>
    <xf numFmtId="41" fontId="2" fillId="0" borderId="0" xfId="0" applyNumberFormat="1" applyFont="1" applyAlignment="1">
      <alignment wrapText="1"/>
    </xf>
    <xf numFmtId="41" fontId="2" fillId="0" borderId="0" xfId="0" quotePrefix="1" applyNumberFormat="1" applyFont="1" applyAlignment="1">
      <alignment wrapText="1"/>
    </xf>
    <xf numFmtId="39" fontId="2" fillId="0" borderId="0" xfId="0" applyNumberFormat="1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left"/>
    </xf>
    <xf numFmtId="41" fontId="3" fillId="0" borderId="3" xfId="0" applyNumberFormat="1" applyFont="1" applyBorder="1" applyAlignment="1">
      <alignment wrapText="1"/>
    </xf>
    <xf numFmtId="41" fontId="3" fillId="0" borderId="4" xfId="0" applyNumberFormat="1" applyFont="1" applyBorder="1" applyAlignment="1">
      <alignment wrapText="1"/>
    </xf>
    <xf numFmtId="41" fontId="2" fillId="0" borderId="5" xfId="0" applyNumberFormat="1" applyFont="1" applyBorder="1" applyAlignment="1">
      <alignment wrapText="1"/>
    </xf>
    <xf numFmtId="41" fontId="2" fillId="0" borderId="6" xfId="0" applyNumberFormat="1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0" xfId="0" applyFont="1" applyFill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41" fontId="2" fillId="0" borderId="0" xfId="0" applyNumberFormat="1" applyFont="1" applyBorder="1" applyAlignment="1">
      <alignment wrapText="1"/>
    </xf>
    <xf numFmtId="0" fontId="10" fillId="0" borderId="2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43" fontId="0" fillId="0" borderId="0" xfId="0" applyNumberFormat="1"/>
    <xf numFmtId="0" fontId="11" fillId="0" borderId="0" xfId="0" applyFont="1" applyAlignment="1">
      <alignment horizontal="right"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wrapText="1"/>
    </xf>
    <xf numFmtId="0" fontId="12" fillId="0" borderId="0" xfId="0" applyFont="1" applyBorder="1"/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Alignment="1">
      <alignment horizontal="left" wrapText="1"/>
    </xf>
    <xf numFmtId="41" fontId="12" fillId="0" borderId="0" xfId="0" applyNumberFormat="1" applyFont="1" applyAlignment="1">
      <alignment wrapText="1"/>
    </xf>
    <xf numFmtId="41" fontId="13" fillId="0" borderId="0" xfId="0" applyNumberFormat="1" applyFont="1" applyAlignment="1">
      <alignment wrapText="1"/>
    </xf>
    <xf numFmtId="41" fontId="13" fillId="0" borderId="0" xfId="0" applyNumberFormat="1" applyFont="1" applyBorder="1" applyAlignment="1">
      <alignment wrapText="1"/>
    </xf>
    <xf numFmtId="41" fontId="13" fillId="0" borderId="2" xfId="0" applyNumberFormat="1" applyFont="1" applyBorder="1" applyAlignment="1">
      <alignment wrapText="1"/>
    </xf>
    <xf numFmtId="0" fontId="13" fillId="0" borderId="0" xfId="0" applyFont="1" applyFill="1" applyAlignment="1">
      <alignment horizontal="left" wrapText="1"/>
    </xf>
    <xf numFmtId="41" fontId="13" fillId="3" borderId="2" xfId="0" applyNumberFormat="1" applyFont="1" applyFill="1" applyBorder="1" applyAlignment="1">
      <alignment wrapText="1"/>
    </xf>
    <xf numFmtId="41" fontId="12" fillId="0" borderId="0" xfId="0" applyNumberFormat="1" applyFont="1" applyFill="1" applyAlignment="1">
      <alignment wrapText="1"/>
    </xf>
    <xf numFmtId="41" fontId="14" fillId="0" borderId="0" xfId="0" applyNumberFormat="1" applyFont="1" applyAlignment="1">
      <alignment wrapText="1"/>
    </xf>
    <xf numFmtId="0" fontId="15" fillId="0" borderId="0" xfId="0" applyFont="1"/>
    <xf numFmtId="41" fontId="14" fillId="0" borderId="0" xfId="0" quotePrefix="1" applyNumberFormat="1" applyFont="1" applyAlignment="1">
      <alignment wrapText="1"/>
    </xf>
    <xf numFmtId="0" fontId="11" fillId="0" borderId="0" xfId="0" applyFont="1"/>
    <xf numFmtId="41" fontId="14" fillId="0" borderId="0" xfId="0" applyNumberFormat="1" applyFont="1" applyBorder="1" applyAlignment="1">
      <alignment wrapText="1"/>
    </xf>
    <xf numFmtId="41" fontId="13" fillId="0" borderId="1" xfId="0" applyNumberFormat="1" applyFont="1" applyBorder="1" applyAlignment="1">
      <alignment wrapText="1"/>
    </xf>
    <xf numFmtId="39" fontId="12" fillId="0" borderId="0" xfId="0" applyNumberFormat="1" applyFont="1" applyAlignment="1">
      <alignment wrapText="1"/>
    </xf>
    <xf numFmtId="39" fontId="13" fillId="0" borderId="0" xfId="0" applyNumberFormat="1" applyFont="1" applyAlignment="1">
      <alignment wrapText="1"/>
    </xf>
    <xf numFmtId="0" fontId="13" fillId="0" borderId="0" xfId="0" applyFont="1" applyAlignment="1">
      <alignment horizontal="left"/>
    </xf>
    <xf numFmtId="41" fontId="12" fillId="0" borderId="0" xfId="0" applyNumberFormat="1" applyFont="1"/>
    <xf numFmtId="164" fontId="12" fillId="0" borderId="0" xfId="1" applyNumberFormat="1" applyFont="1"/>
    <xf numFmtId="164" fontId="12" fillId="0" borderId="9" xfId="1" applyNumberFormat="1" applyFont="1" applyBorder="1"/>
    <xf numFmtId="164" fontId="12" fillId="0" borderId="0" xfId="0" applyNumberFormat="1" applyFont="1"/>
    <xf numFmtId="0" fontId="18" fillId="0" borderId="0" xfId="0" applyFont="1"/>
    <xf numFmtId="164" fontId="12" fillId="0" borderId="9" xfId="0" applyNumberFormat="1" applyFont="1" applyBorder="1"/>
    <xf numFmtId="0" fontId="19" fillId="0" borderId="0" xfId="0" applyFont="1"/>
    <xf numFmtId="37" fontId="13" fillId="0" borderId="0" xfId="0" applyNumberFormat="1" applyFont="1" applyAlignment="1">
      <alignment wrapText="1"/>
    </xf>
    <xf numFmtId="15" fontId="20" fillId="0" borderId="0" xfId="0" quotePrefix="1" applyNumberFormat="1" applyFont="1" applyAlignment="1">
      <alignment horizontal="center"/>
    </xf>
    <xf numFmtId="0" fontId="12" fillId="0" borderId="0" xfId="0" applyFont="1" applyAlignment="1">
      <alignment horizontal="left"/>
    </xf>
    <xf numFmtId="41" fontId="12" fillId="6" borderId="4" xfId="0" applyNumberFormat="1" applyFont="1" applyFill="1" applyBorder="1" applyAlignment="1">
      <alignment wrapText="1"/>
    </xf>
    <xf numFmtId="41" fontId="15" fillId="5" borderId="0" xfId="0" applyNumberFormat="1" applyFont="1" applyFill="1" applyAlignment="1">
      <alignment wrapText="1"/>
    </xf>
    <xf numFmtId="44" fontId="12" fillId="0" borderId="0" xfId="0" applyNumberFormat="1" applyFont="1"/>
    <xf numFmtId="164" fontId="12" fillId="0" borderId="0" xfId="1" applyNumberFormat="1" applyFont="1" applyBorder="1"/>
    <xf numFmtId="164" fontId="12" fillId="0" borderId="0" xfId="0" applyNumberFormat="1" applyFont="1" applyBorder="1"/>
    <xf numFmtId="41" fontId="13" fillId="3" borderId="0" xfId="0" applyNumberFormat="1" applyFont="1" applyFill="1" applyBorder="1" applyAlignment="1">
      <alignment wrapText="1"/>
    </xf>
    <xf numFmtId="0" fontId="21" fillId="0" borderId="0" xfId="0" applyFont="1" applyAlignment="1">
      <alignment horizontal="left" wrapText="1"/>
    </xf>
    <xf numFmtId="0" fontId="21" fillId="3" borderId="0" xfId="0" applyFont="1" applyFill="1" applyAlignment="1">
      <alignment horizontal="left" wrapText="1"/>
    </xf>
    <xf numFmtId="39" fontId="12" fillId="7" borderId="0" xfId="0" applyNumberFormat="1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6" borderId="8" xfId="0" applyFont="1" applyFill="1" applyBorder="1" applyAlignment="1">
      <alignment horizontal="center" wrapText="1"/>
    </xf>
    <xf numFmtId="41" fontId="12" fillId="0" borderId="2" xfId="0" applyNumberFormat="1" applyFont="1" applyBorder="1" applyAlignment="1">
      <alignment wrapText="1"/>
    </xf>
    <xf numFmtId="41" fontId="12" fillId="6" borderId="6" xfId="0" applyNumberFormat="1" applyFont="1" applyFill="1" applyBorder="1" applyAlignment="1">
      <alignment wrapText="1"/>
    </xf>
    <xf numFmtId="41" fontId="12" fillId="3" borderId="2" xfId="0" applyNumberFormat="1" applyFont="1" applyFill="1" applyBorder="1" applyAlignment="1">
      <alignment wrapText="1"/>
    </xf>
    <xf numFmtId="41" fontId="12" fillId="3" borderId="6" xfId="0" applyNumberFormat="1" applyFont="1" applyFill="1" applyBorder="1" applyAlignment="1">
      <alignment wrapText="1"/>
    </xf>
    <xf numFmtId="41" fontId="12" fillId="0" borderId="0" xfId="0" applyNumberFormat="1" applyFont="1" applyBorder="1" applyAlignment="1">
      <alignment wrapText="1"/>
    </xf>
    <xf numFmtId="41" fontId="12" fillId="0" borderId="2" xfId="0" applyNumberFormat="1" applyFont="1" applyFill="1" applyBorder="1" applyAlignment="1">
      <alignment wrapText="1"/>
    </xf>
    <xf numFmtId="41" fontId="12" fillId="0" borderId="1" xfId="0" applyNumberFormat="1" applyFont="1" applyBorder="1" applyAlignment="1">
      <alignment wrapText="1"/>
    </xf>
    <xf numFmtId="41" fontId="12" fillId="7" borderId="0" xfId="0" applyNumberFormat="1" applyFont="1" applyFill="1" applyBorder="1" applyAlignment="1">
      <alignment wrapText="1"/>
    </xf>
    <xf numFmtId="37" fontId="12" fillId="0" borderId="1" xfId="0" applyNumberFormat="1" applyFont="1" applyBorder="1" applyAlignment="1">
      <alignment wrapText="1"/>
    </xf>
    <xf numFmtId="37" fontId="12" fillId="3" borderId="0" xfId="0" applyNumberFormat="1" applyFont="1" applyFill="1" applyAlignment="1">
      <alignment wrapText="1"/>
    </xf>
    <xf numFmtId="15" fontId="24" fillId="0" borderId="0" xfId="0" quotePrefix="1" applyNumberFormat="1" applyFont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41" fontId="12" fillId="3" borderId="0" xfId="0" applyNumberFormat="1" applyFont="1" applyFill="1" applyBorder="1" applyAlignment="1">
      <alignment wrapText="1"/>
    </xf>
    <xf numFmtId="0" fontId="26" fillId="0" borderId="0" xfId="0" applyFont="1" applyFill="1" applyAlignment="1">
      <alignment horizontal="left" wrapText="1"/>
    </xf>
    <xf numFmtId="41" fontId="12" fillId="0" borderId="0" xfId="0" applyNumberFormat="1" applyFont="1" applyFill="1" applyBorder="1" applyAlignment="1">
      <alignment wrapText="1"/>
    </xf>
    <xf numFmtId="41" fontId="12" fillId="0" borderId="1" xfId="0" applyNumberFormat="1" applyFont="1" applyFill="1" applyBorder="1" applyAlignment="1">
      <alignment wrapText="1"/>
    </xf>
    <xf numFmtId="41" fontId="12" fillId="6" borderId="8" xfId="0" applyNumberFormat="1" applyFont="1" applyFill="1" applyBorder="1" applyAlignment="1">
      <alignment wrapText="1"/>
    </xf>
    <xf numFmtId="37" fontId="13" fillId="0" borderId="0" xfId="0" applyNumberFormat="1" applyFont="1" applyBorder="1" applyAlignment="1">
      <alignment wrapText="1"/>
    </xf>
    <xf numFmtId="37" fontId="13" fillId="0" borderId="0" xfId="0" applyNumberFormat="1" applyFont="1" applyFill="1" applyBorder="1" applyAlignment="1">
      <alignment wrapText="1"/>
    </xf>
    <xf numFmtId="41" fontId="15" fillId="0" borderId="0" xfId="0" applyNumberFormat="1" applyFont="1" applyFill="1" applyAlignment="1">
      <alignment wrapText="1"/>
    </xf>
    <xf numFmtId="0" fontId="23" fillId="2" borderId="1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15" fontId="16" fillId="0" borderId="0" xfId="0" quotePrefix="1" applyNumberFormat="1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657225</xdr:colOff>
      <xdr:row>4</xdr:row>
      <xdr:rowOff>66675</xdr:rowOff>
    </xdr:to>
    <xdr:pic>
      <xdr:nvPicPr>
        <xdr:cNvPr id="2" name="Picture 1" descr="PRCS_logo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803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657225</xdr:colOff>
      <xdr:row>3</xdr:row>
      <xdr:rowOff>161925</xdr:rowOff>
    </xdr:to>
    <xdr:pic>
      <xdr:nvPicPr>
        <xdr:cNvPr id="1025" name="Picture 1" descr="PRCS_logo5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657225</xdr:colOff>
      <xdr:row>3</xdr:row>
      <xdr:rowOff>161925</xdr:rowOff>
    </xdr:to>
    <xdr:pic>
      <xdr:nvPicPr>
        <xdr:cNvPr id="3" name="Picture 1" descr="PRCS_logo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803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6"/>
  <sheetViews>
    <sheetView showGridLines="0" tabSelected="1" view="pageBreakPreview" zoomScaleNormal="100" zoomScaleSheetLayoutView="100" workbookViewId="0">
      <pane ySplit="6" topLeftCell="A209" activePane="bottomLeft" state="frozen"/>
      <selection pane="bottomLeft" activeCell="B223" sqref="B223"/>
    </sheetView>
  </sheetViews>
  <sheetFormatPr defaultColWidth="8.7265625" defaultRowHeight="13" x14ac:dyDescent="0.3"/>
  <cols>
    <col min="1" max="1" width="41.26953125" style="30" customWidth="1"/>
    <col min="2" max="3" width="10.7265625" style="30" customWidth="1"/>
    <col min="4" max="4" width="10.7265625" style="30" hidden="1" customWidth="1"/>
    <col min="5" max="5" width="12" style="30" customWidth="1"/>
    <col min="6" max="6" width="10.7265625" style="31" customWidth="1"/>
    <col min="7" max="7" width="2.26953125" style="31" bestFit="1" customWidth="1"/>
    <col min="8" max="8" width="10.7265625" style="30" customWidth="1"/>
    <col min="9" max="9" width="29.81640625" style="30" bestFit="1" customWidth="1"/>
    <col min="10" max="16384" width="8.7265625" style="30"/>
  </cols>
  <sheetData>
    <row r="1" spans="1:9" ht="15.5" x14ac:dyDescent="0.35">
      <c r="A1" s="95" t="s">
        <v>100</v>
      </c>
      <c r="B1" s="95"/>
      <c r="C1" s="95"/>
      <c r="D1" s="95"/>
      <c r="E1" s="95"/>
      <c r="F1" s="95"/>
      <c r="G1" s="95"/>
      <c r="H1" s="95"/>
    </row>
    <row r="2" spans="1:9" ht="15.5" x14ac:dyDescent="0.35">
      <c r="A2" s="95" t="s">
        <v>283</v>
      </c>
      <c r="B2" s="95"/>
      <c r="C2" s="95"/>
      <c r="D2" s="95"/>
      <c r="E2" s="95"/>
      <c r="F2" s="95"/>
      <c r="G2" s="95"/>
      <c r="H2" s="95"/>
    </row>
    <row r="3" spans="1:9" x14ac:dyDescent="0.3">
      <c r="A3" s="96" t="s">
        <v>281</v>
      </c>
      <c r="B3" s="96"/>
      <c r="C3" s="96"/>
      <c r="D3" s="96"/>
      <c r="E3" s="96"/>
      <c r="F3" s="96"/>
      <c r="G3" s="96"/>
      <c r="H3" s="96"/>
    </row>
    <row r="4" spans="1:9" x14ac:dyDescent="0.3">
      <c r="A4" s="61"/>
      <c r="B4" s="61"/>
      <c r="C4" s="61"/>
      <c r="D4" s="61"/>
      <c r="E4" s="61"/>
      <c r="F4" s="61"/>
      <c r="G4" s="61"/>
      <c r="H4" s="84"/>
    </row>
    <row r="5" spans="1:9" ht="14.5" x14ac:dyDescent="0.35">
      <c r="A5" s="32"/>
      <c r="B5" s="94" t="s">
        <v>282</v>
      </c>
      <c r="C5" s="94"/>
      <c r="D5" s="94"/>
      <c r="E5" s="94"/>
      <c r="F5" s="94"/>
      <c r="G5" s="33"/>
      <c r="H5" s="85"/>
    </row>
    <row r="6" spans="1:9" ht="39" x14ac:dyDescent="0.3">
      <c r="A6" s="32"/>
      <c r="B6" s="72" t="s">
        <v>259</v>
      </c>
      <c r="C6" s="72" t="s">
        <v>221</v>
      </c>
      <c r="D6" s="72" t="s">
        <v>220</v>
      </c>
      <c r="E6" s="73" t="s">
        <v>166</v>
      </c>
      <c r="F6" s="34" t="s">
        <v>262</v>
      </c>
      <c r="G6" s="35"/>
      <c r="H6" s="72" t="s">
        <v>165</v>
      </c>
    </row>
    <row r="7" spans="1:9" ht="14.5" x14ac:dyDescent="0.35">
      <c r="A7" s="69" t="s">
        <v>140</v>
      </c>
      <c r="B7" s="37"/>
      <c r="C7" s="37"/>
      <c r="D7" s="37"/>
      <c r="E7" s="63"/>
      <c r="F7" s="38"/>
      <c r="G7" s="38"/>
      <c r="H7" s="37"/>
    </row>
    <row r="8" spans="1:9" x14ac:dyDescent="0.3">
      <c r="A8" s="36" t="s">
        <v>0</v>
      </c>
      <c r="B8" s="37"/>
      <c r="C8" s="37"/>
      <c r="D8" s="37"/>
      <c r="E8" s="63"/>
      <c r="F8" s="38"/>
      <c r="G8" s="38"/>
      <c r="H8" s="37"/>
    </row>
    <row r="9" spans="1:9" x14ac:dyDescent="0.3">
      <c r="A9" s="36" t="s">
        <v>279</v>
      </c>
      <c r="B9" s="37">
        <v>909.28</v>
      </c>
      <c r="C9" s="37">
        <v>0</v>
      </c>
      <c r="D9" s="37"/>
      <c r="E9" s="63">
        <f>(B9)-(C9)</f>
        <v>909.28</v>
      </c>
      <c r="F9" s="38"/>
      <c r="G9" s="38"/>
      <c r="H9" s="37"/>
    </row>
    <row r="10" spans="1:9" x14ac:dyDescent="0.3">
      <c r="A10" s="36" t="s">
        <v>267</v>
      </c>
      <c r="B10" s="37">
        <f>4821.95+3835</f>
        <v>8656.9500000000007</v>
      </c>
      <c r="C10" s="37">
        <v>7500</v>
      </c>
      <c r="D10" s="37"/>
      <c r="E10" s="63">
        <f>(B10)-(C10)</f>
        <v>1156.9500000000007</v>
      </c>
      <c r="F10" s="38"/>
      <c r="G10" s="38"/>
      <c r="H10" s="37"/>
    </row>
    <row r="11" spans="1:9" x14ac:dyDescent="0.3">
      <c r="A11" s="36" t="s">
        <v>268</v>
      </c>
      <c r="B11" s="37">
        <v>64817.55</v>
      </c>
      <c r="C11" s="37">
        <v>13000</v>
      </c>
      <c r="D11" s="37">
        <v>5000</v>
      </c>
      <c r="E11" s="63">
        <f>(B11)-(C11)</f>
        <v>51817.55</v>
      </c>
      <c r="F11" s="38"/>
      <c r="G11" s="38"/>
      <c r="H11" s="37"/>
      <c r="I11" s="59"/>
    </row>
    <row r="12" spans="1:9" x14ac:dyDescent="0.3">
      <c r="A12" s="36" t="s">
        <v>243</v>
      </c>
      <c r="B12" s="74">
        <f>SUBTOTAL(9,B7:B11)</f>
        <v>74383.78</v>
      </c>
      <c r="C12" s="74">
        <f>SUBTOTAL(9,C7:C11)</f>
        <v>20500</v>
      </c>
      <c r="D12" s="74">
        <f>SUBTOTAL(9,D7:D11)</f>
        <v>5000</v>
      </c>
      <c r="E12" s="75">
        <f>SUBTOTAL(9,E7:E11)</f>
        <v>53883.780000000006</v>
      </c>
      <c r="F12" s="40">
        <f>SUBTOTAL(9,F7:F11)</f>
        <v>0</v>
      </c>
      <c r="G12" s="39"/>
      <c r="H12" s="74">
        <f>SUBTOTAL(9,H7:H11)</f>
        <v>0</v>
      </c>
    </row>
    <row r="13" spans="1:9" x14ac:dyDescent="0.3">
      <c r="A13" s="36" t="s">
        <v>1</v>
      </c>
      <c r="B13" s="37">
        <v>2977.95</v>
      </c>
      <c r="C13" s="37">
        <v>5000</v>
      </c>
      <c r="D13" s="37">
        <v>5000</v>
      </c>
      <c r="E13" s="63">
        <f>(B13)-(C13)</f>
        <v>-2022.0500000000002</v>
      </c>
      <c r="F13" s="38">
        <v>5000</v>
      </c>
      <c r="G13" s="38"/>
      <c r="H13" s="37">
        <v>9894.42</v>
      </c>
      <c r="I13" s="59"/>
    </row>
    <row r="14" spans="1:9" x14ac:dyDescent="0.3">
      <c r="A14" s="36" t="s">
        <v>2</v>
      </c>
      <c r="B14" s="37"/>
      <c r="C14" s="37"/>
      <c r="D14" s="37"/>
      <c r="E14" s="63">
        <f>(B14)-(C14)</f>
        <v>0</v>
      </c>
      <c r="F14" s="38"/>
      <c r="G14" s="38"/>
      <c r="H14" s="37"/>
    </row>
    <row r="15" spans="1:9" hidden="1" x14ac:dyDescent="0.3">
      <c r="A15" s="36" t="s">
        <v>3</v>
      </c>
      <c r="B15" s="37"/>
      <c r="C15" s="37"/>
      <c r="D15" s="37"/>
      <c r="E15" s="63">
        <f>(B15)-(C15)</f>
        <v>0</v>
      </c>
      <c r="F15" s="38"/>
      <c r="G15" s="39"/>
      <c r="H15" s="37"/>
    </row>
    <row r="16" spans="1:9" x14ac:dyDescent="0.3">
      <c r="A16" s="36" t="s">
        <v>4</v>
      </c>
      <c r="B16" s="74">
        <f>SUBTOTAL(9,B13:B15)</f>
        <v>2977.95</v>
      </c>
      <c r="C16" s="74">
        <f>SUBTOTAL(9,C13:C15)</f>
        <v>5000</v>
      </c>
      <c r="D16" s="74">
        <f>SUBTOTAL(9,D13:D15)</f>
        <v>5000</v>
      </c>
      <c r="E16" s="75">
        <f>SUBTOTAL(9,E13:E15)</f>
        <v>-2022.0500000000002</v>
      </c>
      <c r="F16" s="40">
        <f>SUBTOTAL(9,F13:F15)</f>
        <v>5000</v>
      </c>
      <c r="G16" s="39"/>
      <c r="H16" s="74">
        <f>SUBTOTAL(9,H13:H15)</f>
        <v>9894.42</v>
      </c>
    </row>
    <row r="17" spans="1:9" hidden="1" x14ac:dyDescent="0.3">
      <c r="A17" s="36" t="s">
        <v>5</v>
      </c>
      <c r="B17" s="37"/>
      <c r="C17" s="37"/>
      <c r="D17" s="37"/>
      <c r="E17" s="63">
        <f t="shared" ref="E17:E23" si="0">(B17)-(C17)</f>
        <v>0</v>
      </c>
      <c r="F17" s="38"/>
      <c r="G17" s="38"/>
      <c r="H17" s="37"/>
    </row>
    <row r="18" spans="1:9" hidden="1" x14ac:dyDescent="0.3">
      <c r="A18" s="36" t="s">
        <v>103</v>
      </c>
      <c r="B18" s="37"/>
      <c r="C18" s="37"/>
      <c r="D18" s="37"/>
      <c r="E18" s="63">
        <f t="shared" si="0"/>
        <v>0</v>
      </c>
      <c r="F18" s="38"/>
      <c r="G18" s="38"/>
      <c r="H18" s="37"/>
    </row>
    <row r="19" spans="1:9" hidden="1" x14ac:dyDescent="0.3">
      <c r="A19" s="36" t="s">
        <v>6</v>
      </c>
      <c r="B19" s="37"/>
      <c r="C19" s="37"/>
      <c r="D19" s="37"/>
      <c r="E19" s="63">
        <f t="shared" si="0"/>
        <v>0</v>
      </c>
      <c r="F19" s="38"/>
      <c r="G19" s="38"/>
      <c r="H19" s="37"/>
    </row>
    <row r="20" spans="1:9" hidden="1" x14ac:dyDescent="0.3">
      <c r="A20" s="36" t="s">
        <v>7</v>
      </c>
      <c r="B20" s="37"/>
      <c r="C20" s="37"/>
      <c r="D20" s="37"/>
      <c r="E20" s="63">
        <f t="shared" si="0"/>
        <v>0</v>
      </c>
      <c r="F20" s="38"/>
      <c r="G20" s="38"/>
      <c r="H20" s="37"/>
    </row>
    <row r="21" spans="1:9" hidden="1" x14ac:dyDescent="0.3">
      <c r="A21" s="36" t="s">
        <v>8</v>
      </c>
      <c r="B21" s="37"/>
      <c r="C21" s="37"/>
      <c r="D21" s="37"/>
      <c r="E21" s="63">
        <f t="shared" si="0"/>
        <v>0</v>
      </c>
      <c r="F21" s="38"/>
      <c r="G21" s="38"/>
      <c r="H21" s="37"/>
    </row>
    <row r="22" spans="1:9" hidden="1" x14ac:dyDescent="0.3">
      <c r="A22" s="36" t="s">
        <v>9</v>
      </c>
      <c r="B22" s="37"/>
      <c r="C22" s="37"/>
      <c r="D22" s="37"/>
      <c r="E22" s="63">
        <f t="shared" si="0"/>
        <v>0</v>
      </c>
      <c r="F22" s="38"/>
      <c r="G22" s="39"/>
      <c r="H22" s="37"/>
    </row>
    <row r="23" spans="1:9" hidden="1" x14ac:dyDescent="0.3">
      <c r="A23" s="36" t="s">
        <v>10</v>
      </c>
      <c r="B23" s="74"/>
      <c r="C23" s="74">
        <f>SUBTOTAL(9,C17:C22)</f>
        <v>0</v>
      </c>
      <c r="D23" s="74">
        <f>SUBTOTAL(9,D17:D22)</f>
        <v>0</v>
      </c>
      <c r="E23" s="75">
        <f t="shared" si="0"/>
        <v>0</v>
      </c>
      <c r="F23" s="40">
        <f>SUBTOTAL(9,F17:F22)</f>
        <v>0</v>
      </c>
      <c r="G23" s="39"/>
      <c r="H23" s="74">
        <f>SUBTOTAL(9,H17:H22)</f>
        <v>0</v>
      </c>
    </row>
    <row r="24" spans="1:9" x14ac:dyDescent="0.3">
      <c r="A24" s="36" t="s">
        <v>11</v>
      </c>
      <c r="B24" s="37"/>
      <c r="C24" s="37"/>
      <c r="D24" s="37"/>
      <c r="E24" s="63"/>
      <c r="F24" s="38"/>
      <c r="G24" s="38"/>
      <c r="H24" s="37"/>
    </row>
    <row r="25" spans="1:9" x14ac:dyDescent="0.3">
      <c r="A25" s="36" t="s">
        <v>12</v>
      </c>
      <c r="B25" s="37">
        <v>22875</v>
      </c>
      <c r="C25" s="37">
        <v>15000</v>
      </c>
      <c r="D25" s="37">
        <v>15000</v>
      </c>
      <c r="E25" s="63">
        <f t="shared" ref="E25:E31" si="1">(B25)-(C25)</f>
        <v>7875</v>
      </c>
      <c r="F25" s="38">
        <v>20000</v>
      </c>
      <c r="G25" s="38"/>
      <c r="H25" s="37">
        <v>19242.740000000002</v>
      </c>
    </row>
    <row r="26" spans="1:9" x14ac:dyDescent="0.3">
      <c r="A26" s="36" t="s">
        <v>141</v>
      </c>
      <c r="B26" s="37">
        <f>267288.04+307.72+1500</f>
        <v>269095.75999999995</v>
      </c>
      <c r="C26" s="37">
        <v>250000</v>
      </c>
      <c r="D26" s="37">
        <v>250000</v>
      </c>
      <c r="E26" s="63">
        <f t="shared" si="1"/>
        <v>19095.759999999951</v>
      </c>
      <c r="F26" s="38">
        <v>265000</v>
      </c>
      <c r="G26" s="38"/>
      <c r="H26" s="37">
        <f>78517+178750</f>
        <v>257267</v>
      </c>
      <c r="I26" s="59"/>
    </row>
    <row r="27" spans="1:9" hidden="1" x14ac:dyDescent="0.3">
      <c r="A27" s="36" t="s">
        <v>13</v>
      </c>
      <c r="B27" s="37"/>
      <c r="C27" s="37"/>
      <c r="D27" s="37"/>
      <c r="E27" s="63">
        <f t="shared" si="1"/>
        <v>0</v>
      </c>
      <c r="F27" s="38"/>
      <c r="G27" s="38"/>
      <c r="H27" s="37"/>
    </row>
    <row r="28" spans="1:9" hidden="1" x14ac:dyDescent="0.3">
      <c r="A28" s="36" t="s">
        <v>14</v>
      </c>
      <c r="B28" s="37"/>
      <c r="C28" s="37"/>
      <c r="D28" s="37"/>
      <c r="E28" s="63">
        <f t="shared" si="1"/>
        <v>0</v>
      </c>
      <c r="F28" s="38"/>
      <c r="G28" s="39"/>
      <c r="H28" s="37">
        <v>0</v>
      </c>
    </row>
    <row r="29" spans="1:9" hidden="1" x14ac:dyDescent="0.3">
      <c r="A29" s="36" t="s">
        <v>15</v>
      </c>
      <c r="B29" s="74"/>
      <c r="C29" s="74"/>
      <c r="D29" s="74"/>
      <c r="E29" s="75">
        <f t="shared" si="1"/>
        <v>0</v>
      </c>
      <c r="F29" s="40">
        <f>SUBTOTAL(9,F26:F28)</f>
        <v>265000</v>
      </c>
      <c r="G29" s="39"/>
      <c r="H29" s="74"/>
    </row>
    <row r="30" spans="1:9" x14ac:dyDescent="0.3">
      <c r="A30" s="36" t="s">
        <v>123</v>
      </c>
      <c r="B30" s="37">
        <v>0</v>
      </c>
      <c r="C30" s="37"/>
      <c r="D30" s="37"/>
      <c r="E30" s="63">
        <f t="shared" si="1"/>
        <v>0</v>
      </c>
      <c r="F30" s="38"/>
      <c r="G30" s="38"/>
      <c r="H30" s="37">
        <v>165</v>
      </c>
    </row>
    <row r="31" spans="1:9" x14ac:dyDescent="0.3">
      <c r="A31" s="36" t="s">
        <v>124</v>
      </c>
      <c r="B31" s="37">
        <f>550+50</f>
        <v>600</v>
      </c>
      <c r="C31" s="37"/>
      <c r="D31" s="37"/>
      <c r="E31" s="63">
        <f t="shared" si="1"/>
        <v>600</v>
      </c>
      <c r="F31" s="38"/>
      <c r="G31" s="39"/>
      <c r="H31" s="37">
        <v>500</v>
      </c>
    </row>
    <row r="32" spans="1:9" x14ac:dyDescent="0.3">
      <c r="A32" s="36" t="s">
        <v>16</v>
      </c>
      <c r="B32" s="74">
        <f>SUBTOTAL(9,B24:B31)</f>
        <v>292570.75999999995</v>
      </c>
      <c r="C32" s="74">
        <f t="shared" ref="C32:F32" si="2">SUBTOTAL(9,C24:C31)</f>
        <v>265000</v>
      </c>
      <c r="D32" s="74">
        <f t="shared" si="2"/>
        <v>265000</v>
      </c>
      <c r="E32" s="75">
        <f t="shared" si="2"/>
        <v>27570.759999999951</v>
      </c>
      <c r="F32" s="40">
        <f t="shared" si="2"/>
        <v>285000</v>
      </c>
      <c r="G32" s="39"/>
      <c r="H32" s="74">
        <f>SUBTOTAL(9,H24:H31)</f>
        <v>277174.74</v>
      </c>
    </row>
    <row r="33" spans="1:8" x14ac:dyDescent="0.3">
      <c r="A33" s="36" t="s">
        <v>17</v>
      </c>
      <c r="B33" s="37">
        <v>38900.5</v>
      </c>
      <c r="C33" s="37">
        <v>93875</v>
      </c>
      <c r="D33" s="37">
        <v>50000</v>
      </c>
      <c r="E33" s="63">
        <f t="shared" ref="E33:E46" si="3">(B33)-(C33)</f>
        <v>-54974.5</v>
      </c>
      <c r="F33" s="38">
        <v>37500</v>
      </c>
      <c r="G33" s="38"/>
      <c r="H33" s="37">
        <v>0</v>
      </c>
    </row>
    <row r="34" spans="1:8" hidden="1" x14ac:dyDescent="0.3">
      <c r="A34" s="36" t="s">
        <v>237</v>
      </c>
      <c r="B34" s="37"/>
      <c r="C34" s="37"/>
      <c r="D34" s="37"/>
      <c r="E34" s="63">
        <f t="shared" si="3"/>
        <v>0</v>
      </c>
      <c r="F34" s="38"/>
      <c r="G34" s="38"/>
      <c r="H34" s="37"/>
    </row>
    <row r="35" spans="1:8" hidden="1" x14ac:dyDescent="0.3">
      <c r="A35" s="36" t="s">
        <v>238</v>
      </c>
      <c r="B35" s="37"/>
      <c r="C35" s="37"/>
      <c r="D35" s="37"/>
      <c r="E35" s="63">
        <f t="shared" si="3"/>
        <v>0</v>
      </c>
      <c r="F35" s="38"/>
      <c r="G35" s="38"/>
      <c r="H35" s="37"/>
    </row>
    <row r="36" spans="1:8" hidden="1" x14ac:dyDescent="0.3">
      <c r="A36" s="36" t="s">
        <v>18</v>
      </c>
      <c r="B36" s="37"/>
      <c r="C36" s="37"/>
      <c r="D36" s="37"/>
      <c r="E36" s="63">
        <f t="shared" si="3"/>
        <v>0</v>
      </c>
      <c r="F36" s="38"/>
      <c r="G36" s="38"/>
      <c r="H36" s="37"/>
    </row>
    <row r="37" spans="1:8" hidden="1" x14ac:dyDescent="0.3">
      <c r="A37" s="36" t="s">
        <v>19</v>
      </c>
      <c r="B37" s="37"/>
      <c r="C37" s="37"/>
      <c r="D37" s="37"/>
      <c r="E37" s="63">
        <f t="shared" si="3"/>
        <v>0</v>
      </c>
      <c r="F37" s="38"/>
      <c r="G37" s="38"/>
      <c r="H37" s="37"/>
    </row>
    <row r="38" spans="1:8" hidden="1" x14ac:dyDescent="0.3">
      <c r="A38" s="36" t="s">
        <v>20</v>
      </c>
      <c r="B38" s="37"/>
      <c r="C38" s="37"/>
      <c r="D38" s="37"/>
      <c r="E38" s="63">
        <f t="shared" si="3"/>
        <v>0</v>
      </c>
      <c r="F38" s="38"/>
      <c r="G38" s="38"/>
      <c r="H38" s="37"/>
    </row>
    <row r="39" spans="1:8" hidden="1" x14ac:dyDescent="0.3">
      <c r="A39" s="36" t="s">
        <v>21</v>
      </c>
      <c r="B39" s="37">
        <v>0</v>
      </c>
      <c r="C39" s="37"/>
      <c r="D39" s="37"/>
      <c r="E39" s="63">
        <f t="shared" si="3"/>
        <v>0</v>
      </c>
      <c r="F39" s="38"/>
      <c r="G39" s="38"/>
      <c r="H39" s="37"/>
    </row>
    <row r="40" spans="1:8" hidden="1" x14ac:dyDescent="0.3">
      <c r="A40" s="36" t="s">
        <v>22</v>
      </c>
      <c r="B40" s="37"/>
      <c r="C40" s="37"/>
      <c r="D40" s="37"/>
      <c r="E40" s="63">
        <f t="shared" si="3"/>
        <v>0</v>
      </c>
      <c r="F40" s="38"/>
      <c r="G40" s="38"/>
      <c r="H40" s="37"/>
    </row>
    <row r="41" spans="1:8" hidden="1" x14ac:dyDescent="0.3">
      <c r="A41" s="36" t="s">
        <v>23</v>
      </c>
      <c r="B41" s="37"/>
      <c r="C41" s="37"/>
      <c r="D41" s="37"/>
      <c r="E41" s="63">
        <f t="shared" si="3"/>
        <v>0</v>
      </c>
      <c r="F41" s="38"/>
      <c r="G41" s="38"/>
      <c r="H41" s="37"/>
    </row>
    <row r="42" spans="1:8" hidden="1" x14ac:dyDescent="0.3">
      <c r="A42" s="36" t="s">
        <v>231</v>
      </c>
      <c r="B42" s="37"/>
      <c r="C42" s="37"/>
      <c r="D42" s="37"/>
      <c r="E42" s="63">
        <f t="shared" si="3"/>
        <v>0</v>
      </c>
      <c r="F42" s="38"/>
      <c r="G42" s="38"/>
      <c r="H42" s="37"/>
    </row>
    <row r="43" spans="1:8" hidden="1" x14ac:dyDescent="0.3">
      <c r="A43" s="36" t="s">
        <v>24</v>
      </c>
      <c r="B43" s="37"/>
      <c r="C43" s="37"/>
      <c r="D43" s="37"/>
      <c r="E43" s="63">
        <f t="shared" si="3"/>
        <v>0</v>
      </c>
      <c r="F43" s="38"/>
      <c r="G43" s="38"/>
      <c r="H43" s="37"/>
    </row>
    <row r="44" spans="1:8" hidden="1" x14ac:dyDescent="0.3">
      <c r="A44" s="36" t="s">
        <v>25</v>
      </c>
      <c r="B44" s="37"/>
      <c r="C44" s="37"/>
      <c r="D44" s="37"/>
      <c r="E44" s="63">
        <f t="shared" si="3"/>
        <v>0</v>
      </c>
      <c r="F44" s="38"/>
      <c r="G44" s="38"/>
      <c r="H44" s="37"/>
    </row>
    <row r="45" spans="1:8" hidden="1" x14ac:dyDescent="0.3">
      <c r="A45" s="36" t="s">
        <v>28</v>
      </c>
      <c r="B45" s="37"/>
      <c r="C45" s="37"/>
      <c r="D45" s="37"/>
      <c r="E45" s="63">
        <f t="shared" si="3"/>
        <v>0</v>
      </c>
      <c r="F45" s="38"/>
      <c r="G45" s="38"/>
      <c r="H45" s="37"/>
    </row>
    <row r="46" spans="1:8" hidden="1" x14ac:dyDescent="0.3">
      <c r="A46" s="36" t="s">
        <v>252</v>
      </c>
      <c r="B46" s="37"/>
      <c r="C46" s="37"/>
      <c r="D46" s="37"/>
      <c r="E46" s="63">
        <f t="shared" si="3"/>
        <v>0</v>
      </c>
      <c r="F46" s="38"/>
      <c r="G46" s="39"/>
      <c r="H46" s="37"/>
    </row>
    <row r="47" spans="1:8" x14ac:dyDescent="0.3">
      <c r="A47" s="36" t="s">
        <v>29</v>
      </c>
      <c r="B47" s="74">
        <f>SUBTOTAL(9,B33:B46)</f>
        <v>38900.5</v>
      </c>
      <c r="C47" s="74">
        <f>SUBTOTAL(9,C33:C46)</f>
        <v>93875</v>
      </c>
      <c r="D47" s="74">
        <f>SUBTOTAL(9,D33:D46)</f>
        <v>50000</v>
      </c>
      <c r="E47" s="75">
        <f>SUBTOTAL(9,E33:E46)</f>
        <v>-54974.5</v>
      </c>
      <c r="F47" s="40">
        <f>SUBTOTAL(9,F33:F46)</f>
        <v>37500</v>
      </c>
      <c r="G47" s="39"/>
      <c r="H47" s="74">
        <f>SUBTOTAL(9,H33:H46)</f>
        <v>0</v>
      </c>
    </row>
    <row r="48" spans="1:8" hidden="1" x14ac:dyDescent="0.3">
      <c r="A48" s="36" t="s">
        <v>30</v>
      </c>
      <c r="B48" s="37"/>
      <c r="C48" s="37"/>
      <c r="D48" s="37"/>
      <c r="E48" s="63">
        <f t="shared" ref="E48:E57" si="4">(B48)-(C48)</f>
        <v>0</v>
      </c>
      <c r="F48" s="38"/>
      <c r="G48" s="38"/>
      <c r="H48" s="37"/>
    </row>
    <row r="49" spans="1:8" hidden="1" x14ac:dyDescent="0.3">
      <c r="A49" s="36" t="s">
        <v>31</v>
      </c>
      <c r="B49" s="37"/>
      <c r="C49" s="37"/>
      <c r="D49" s="37"/>
      <c r="E49" s="63">
        <f t="shared" si="4"/>
        <v>0</v>
      </c>
      <c r="F49" s="38"/>
      <c r="G49" s="38"/>
      <c r="H49" s="37"/>
    </row>
    <row r="50" spans="1:8" hidden="1" x14ac:dyDescent="0.3">
      <c r="A50" s="36" t="s">
        <v>32</v>
      </c>
      <c r="B50" s="37"/>
      <c r="C50" s="37"/>
      <c r="D50" s="37"/>
      <c r="E50" s="63">
        <f t="shared" si="4"/>
        <v>0</v>
      </c>
      <c r="F50" s="38"/>
      <c r="G50" s="39"/>
      <c r="H50" s="37"/>
    </row>
    <row r="51" spans="1:8" hidden="1" x14ac:dyDescent="0.3">
      <c r="A51" s="36" t="s">
        <v>33</v>
      </c>
      <c r="B51" s="74"/>
      <c r="C51" s="74">
        <f>SUBTOTAL(9,C49:C50)</f>
        <v>0</v>
      </c>
      <c r="D51" s="74">
        <f>SUBTOTAL(9,D49:D50)</f>
        <v>0</v>
      </c>
      <c r="E51" s="75">
        <f t="shared" si="4"/>
        <v>0</v>
      </c>
      <c r="F51" s="40">
        <f>SUBTOTAL(9,F49:F50)</f>
        <v>0</v>
      </c>
      <c r="G51" s="39"/>
      <c r="H51" s="74">
        <f>SUBTOTAL(9,H49:H50)</f>
        <v>0</v>
      </c>
    </row>
    <row r="52" spans="1:8" hidden="1" x14ac:dyDescent="0.3">
      <c r="A52" s="36" t="s">
        <v>34</v>
      </c>
      <c r="B52" s="37"/>
      <c r="C52" s="37"/>
      <c r="D52" s="37"/>
      <c r="E52" s="63">
        <f t="shared" si="4"/>
        <v>0</v>
      </c>
      <c r="F52" s="38"/>
      <c r="G52" s="38"/>
      <c r="H52" s="37"/>
    </row>
    <row r="53" spans="1:8" hidden="1" x14ac:dyDescent="0.3">
      <c r="A53" s="36" t="s">
        <v>35</v>
      </c>
      <c r="B53" s="37"/>
      <c r="C53" s="37"/>
      <c r="D53" s="37"/>
      <c r="E53" s="63">
        <f t="shared" si="4"/>
        <v>0</v>
      </c>
      <c r="F53" s="38"/>
      <c r="G53" s="38"/>
      <c r="H53" s="37"/>
    </row>
    <row r="54" spans="1:8" hidden="1" x14ac:dyDescent="0.3">
      <c r="A54" s="36" t="s">
        <v>36</v>
      </c>
      <c r="B54" s="37"/>
      <c r="C54" s="37"/>
      <c r="D54" s="37">
        <v>0</v>
      </c>
      <c r="E54" s="63">
        <f t="shared" si="4"/>
        <v>0</v>
      </c>
      <c r="F54" s="38">
        <v>0</v>
      </c>
      <c r="G54" s="38"/>
      <c r="H54" s="37"/>
    </row>
    <row r="55" spans="1:8" hidden="1" x14ac:dyDescent="0.3">
      <c r="A55" s="36" t="s">
        <v>37</v>
      </c>
      <c r="B55" s="37"/>
      <c r="C55" s="37"/>
      <c r="D55" s="37"/>
      <c r="E55" s="63">
        <f t="shared" si="4"/>
        <v>0</v>
      </c>
      <c r="F55" s="38"/>
      <c r="G55" s="38"/>
      <c r="H55" s="37"/>
    </row>
    <row r="56" spans="1:8" hidden="1" x14ac:dyDescent="0.3">
      <c r="A56" s="36" t="s">
        <v>38</v>
      </c>
      <c r="B56" s="37"/>
      <c r="C56" s="37"/>
      <c r="D56" s="37"/>
      <c r="E56" s="63">
        <f t="shared" si="4"/>
        <v>0</v>
      </c>
      <c r="F56" s="38"/>
      <c r="G56" s="39"/>
      <c r="H56" s="37"/>
    </row>
    <row r="57" spans="1:8" hidden="1" x14ac:dyDescent="0.3">
      <c r="A57" s="36" t="s">
        <v>39</v>
      </c>
      <c r="B57" s="74"/>
      <c r="C57" s="74">
        <f>SUBTOTAL(9,C55:C56)</f>
        <v>0</v>
      </c>
      <c r="D57" s="74">
        <f>SUBTOTAL(9,D55:D56)</f>
        <v>0</v>
      </c>
      <c r="E57" s="75">
        <f t="shared" si="4"/>
        <v>0</v>
      </c>
      <c r="F57" s="40">
        <f>SUBTOTAL(9,F55:F56)</f>
        <v>0</v>
      </c>
      <c r="G57" s="39"/>
      <c r="H57" s="74">
        <f>SUBTOTAL(9,H55:H56)</f>
        <v>0</v>
      </c>
    </row>
    <row r="58" spans="1:8" ht="14.5" x14ac:dyDescent="0.35">
      <c r="A58" s="70" t="s">
        <v>40</v>
      </c>
      <c r="B58" s="76">
        <f>SUBTOTAL(9,B9:B47)</f>
        <v>408832.98999999993</v>
      </c>
      <c r="C58" s="76">
        <f>SUBTOTAL(9,C9:C47)</f>
        <v>384375</v>
      </c>
      <c r="D58" s="76">
        <f>D16+D32+D47</f>
        <v>320000</v>
      </c>
      <c r="E58" s="77">
        <f>SUBTOTAL(9,E11:E47)</f>
        <v>22391.759999999951</v>
      </c>
      <c r="F58" s="42">
        <f>SUBTOTAL(9,F9:F47)</f>
        <v>327500</v>
      </c>
      <c r="G58" s="42"/>
      <c r="H58" s="76">
        <f>SUBTOTAL(9,H9:H47)</f>
        <v>287069.16000000003</v>
      </c>
    </row>
    <row r="59" spans="1:8" x14ac:dyDescent="0.3">
      <c r="A59" s="41" t="s">
        <v>270</v>
      </c>
      <c r="B59" s="43">
        <v>126.38</v>
      </c>
      <c r="C59" s="43"/>
      <c r="D59" s="43"/>
      <c r="E59" s="63">
        <f t="shared" ref="E59:E64" si="5">(B59)-(C59)</f>
        <v>126.38</v>
      </c>
      <c r="F59" s="38"/>
      <c r="G59" s="38"/>
      <c r="H59" s="37"/>
    </row>
    <row r="60" spans="1:8" x14ac:dyDescent="0.3">
      <c r="A60" s="36" t="s">
        <v>138</v>
      </c>
      <c r="B60" s="37">
        <v>0</v>
      </c>
      <c r="C60" s="37"/>
      <c r="D60" s="37"/>
      <c r="E60" s="63">
        <f t="shared" si="5"/>
        <v>0</v>
      </c>
      <c r="F60" s="38"/>
      <c r="G60" s="38"/>
      <c r="H60" s="37">
        <v>60000</v>
      </c>
    </row>
    <row r="61" spans="1:8" hidden="1" x14ac:dyDescent="0.3">
      <c r="A61" s="36" t="s">
        <v>202</v>
      </c>
      <c r="B61" s="37"/>
      <c r="C61" s="37"/>
      <c r="D61" s="37"/>
      <c r="E61" s="63">
        <f t="shared" si="5"/>
        <v>0</v>
      </c>
      <c r="F61" s="38">
        <v>0</v>
      </c>
      <c r="G61" s="39"/>
      <c r="H61" s="37">
        <v>0</v>
      </c>
    </row>
    <row r="62" spans="1:8" x14ac:dyDescent="0.3">
      <c r="A62" s="36" t="s">
        <v>269</v>
      </c>
      <c r="B62" s="37">
        <v>2100</v>
      </c>
      <c r="C62" s="37"/>
      <c r="D62" s="37"/>
      <c r="E62" s="63">
        <f t="shared" si="5"/>
        <v>2100</v>
      </c>
      <c r="F62" s="38">
        <v>0</v>
      </c>
      <c r="G62" s="39"/>
      <c r="H62" s="37">
        <f>1600</f>
        <v>1600</v>
      </c>
    </row>
    <row r="63" spans="1:8" x14ac:dyDescent="0.3">
      <c r="A63" s="36" t="s">
        <v>246</v>
      </c>
      <c r="B63" s="37">
        <v>17606.59</v>
      </c>
      <c r="C63" s="37"/>
      <c r="D63" s="37"/>
      <c r="E63" s="63">
        <f t="shared" si="5"/>
        <v>17606.59</v>
      </c>
      <c r="F63" s="38">
        <v>0</v>
      </c>
      <c r="G63" s="39"/>
      <c r="H63" s="37"/>
    </row>
    <row r="64" spans="1:8" x14ac:dyDescent="0.3">
      <c r="A64" s="36" t="s">
        <v>230</v>
      </c>
      <c r="B64" s="37">
        <v>3330</v>
      </c>
      <c r="C64" s="37"/>
      <c r="D64" s="37"/>
      <c r="E64" s="63">
        <f t="shared" si="5"/>
        <v>3330</v>
      </c>
      <c r="F64" s="38">
        <v>0</v>
      </c>
      <c r="G64" s="39"/>
      <c r="H64" s="37"/>
    </row>
    <row r="65" spans="1:10" x14ac:dyDescent="0.3">
      <c r="A65" s="36" t="s">
        <v>125</v>
      </c>
      <c r="B65" s="74">
        <f>SUBTOTAL(9,B59:B64)</f>
        <v>23162.97</v>
      </c>
      <c r="C65" s="74">
        <f>SUBTOTAL(9,C59:C64)</f>
        <v>0</v>
      </c>
      <c r="D65" s="74">
        <f>SUBTOTAL(9,D59:D64)</f>
        <v>0</v>
      </c>
      <c r="E65" s="75">
        <f>SUBTOTAL(9,E59:E64)</f>
        <v>23162.97</v>
      </c>
      <c r="F65" s="40">
        <f>SUBTOTAL(9,F59:F64)</f>
        <v>0</v>
      </c>
      <c r="G65" s="39"/>
      <c r="H65" s="74">
        <f>SUBTOTAL(9,H59:H64)</f>
        <v>61600</v>
      </c>
    </row>
    <row r="66" spans="1:10" hidden="1" x14ac:dyDescent="0.3">
      <c r="A66" s="36" t="s">
        <v>42</v>
      </c>
      <c r="B66" s="37" t="e">
        <f>#REF!+#REF!+#REF!</f>
        <v>#REF!</v>
      </c>
      <c r="C66" s="37"/>
      <c r="D66" s="37"/>
      <c r="E66" s="63" t="e">
        <f>(B66)-(C66)</f>
        <v>#REF!</v>
      </c>
      <c r="F66" s="38"/>
      <c r="G66" s="39"/>
      <c r="H66" s="37"/>
    </row>
    <row r="67" spans="1:10" ht="14.5" x14ac:dyDescent="0.35">
      <c r="A67" s="70" t="s">
        <v>142</v>
      </c>
      <c r="B67" s="76">
        <f>SUBTOTAL(9,B9:B65)</f>
        <v>431995.95999999996</v>
      </c>
      <c r="C67" s="76">
        <f>SUBTOTAL(9,C9:C65)</f>
        <v>384375</v>
      </c>
      <c r="D67" s="76">
        <f>((D58)+(D65))+(D66)</f>
        <v>320000</v>
      </c>
      <c r="E67" s="77">
        <f>SUBTOTAL(9,E11:E65)</f>
        <v>45554.729999999952</v>
      </c>
      <c r="F67" s="42">
        <f>SUBTOTAL(9,F9:F65)</f>
        <v>327500</v>
      </c>
      <c r="G67" s="68"/>
      <c r="H67" s="76">
        <f>SUBTOTAL(9,H9:H65)</f>
        <v>348669.16000000003</v>
      </c>
      <c r="J67" s="53"/>
    </row>
    <row r="68" spans="1:10" ht="13" hidden="1" customHeight="1" x14ac:dyDescent="0.3">
      <c r="A68" s="36" t="s">
        <v>43</v>
      </c>
      <c r="B68" s="74">
        <f>(B67)-(0)</f>
        <v>431995.95999999996</v>
      </c>
      <c r="C68" s="74">
        <f>(C67)-(0)</f>
        <v>384375</v>
      </c>
      <c r="D68" s="74">
        <f>(D67)-(0)</f>
        <v>320000</v>
      </c>
      <c r="E68" s="75">
        <f>(B68)-(C68)</f>
        <v>47620.959999999963</v>
      </c>
      <c r="F68" s="40">
        <f>(F67)-(0)</f>
        <v>327500</v>
      </c>
      <c r="G68" s="39"/>
      <c r="H68" s="74">
        <f>(H67)-(0)</f>
        <v>348669.16000000003</v>
      </c>
    </row>
    <row r="69" spans="1:10" ht="13" customHeight="1" x14ac:dyDescent="0.3">
      <c r="A69" s="36"/>
      <c r="B69" s="78"/>
      <c r="C69" s="78"/>
      <c r="D69" s="78"/>
      <c r="E69" s="63"/>
      <c r="F69" s="39"/>
      <c r="G69" s="39"/>
      <c r="H69" s="78"/>
    </row>
    <row r="70" spans="1:10" ht="15" customHeight="1" x14ac:dyDescent="0.3">
      <c r="A70" s="36"/>
      <c r="B70" s="78"/>
      <c r="C70" s="78"/>
      <c r="D70" s="78"/>
      <c r="E70" s="63"/>
      <c r="F70" s="39"/>
      <c r="G70" s="39"/>
      <c r="H70" s="78"/>
    </row>
    <row r="71" spans="1:10" ht="14.5" x14ac:dyDescent="0.35">
      <c r="A71" s="69" t="s">
        <v>143</v>
      </c>
      <c r="B71" s="37"/>
      <c r="C71" s="37"/>
      <c r="D71" s="37"/>
      <c r="E71" s="63"/>
      <c r="F71" s="38"/>
      <c r="G71" s="38"/>
      <c r="H71" s="37"/>
    </row>
    <row r="72" spans="1:10" x14ac:dyDescent="0.3">
      <c r="A72" s="36" t="s">
        <v>44</v>
      </c>
      <c r="B72" s="37">
        <v>1731.59</v>
      </c>
      <c r="C72" s="37">
        <v>5000</v>
      </c>
      <c r="D72" s="37">
        <v>5000</v>
      </c>
      <c r="E72" s="63">
        <f>(B72)-(C72)</f>
        <v>-3268.41</v>
      </c>
      <c r="F72" s="38">
        <v>5000</v>
      </c>
      <c r="G72" s="38"/>
      <c r="H72" s="37">
        <v>1689.21</v>
      </c>
    </row>
    <row r="73" spans="1:10" hidden="1" x14ac:dyDescent="0.3">
      <c r="A73" s="36" t="s">
        <v>45</v>
      </c>
      <c r="B73" s="37"/>
      <c r="C73" s="37"/>
      <c r="D73" s="37"/>
      <c r="E73" s="63">
        <f>(B73)-(C73)</f>
        <v>0</v>
      </c>
      <c r="F73" s="38"/>
      <c r="G73" s="38"/>
      <c r="H73" s="37"/>
    </row>
    <row r="74" spans="1:10" hidden="1" x14ac:dyDescent="0.3">
      <c r="A74" s="36" t="s">
        <v>46</v>
      </c>
      <c r="B74" s="37"/>
      <c r="C74" s="37"/>
      <c r="D74" s="37"/>
      <c r="E74" s="63">
        <v>0</v>
      </c>
      <c r="F74" s="38"/>
      <c r="G74" s="38"/>
      <c r="H74" s="37"/>
    </row>
    <row r="75" spans="1:10" hidden="1" x14ac:dyDescent="0.3">
      <c r="A75" s="36" t="s">
        <v>105</v>
      </c>
      <c r="B75" s="37"/>
      <c r="C75" s="37">
        <v>0</v>
      </c>
      <c r="D75" s="37">
        <v>0</v>
      </c>
      <c r="E75" s="63">
        <f>(B75)-(C75)</f>
        <v>0</v>
      </c>
      <c r="F75" s="38">
        <v>0</v>
      </c>
      <c r="G75" s="38"/>
      <c r="H75" s="37"/>
    </row>
    <row r="76" spans="1:10" hidden="1" x14ac:dyDescent="0.3">
      <c r="A76" s="36" t="s">
        <v>47</v>
      </c>
      <c r="B76" s="37">
        <v>0</v>
      </c>
      <c r="C76" s="37"/>
      <c r="D76" s="37"/>
      <c r="E76" s="63">
        <f>(B76)-(C76)</f>
        <v>0</v>
      </c>
      <c r="F76" s="38"/>
      <c r="G76" s="38"/>
      <c r="H76" s="37"/>
    </row>
    <row r="77" spans="1:10" hidden="1" x14ac:dyDescent="0.3">
      <c r="A77" s="36" t="s">
        <v>48</v>
      </c>
      <c r="B77" s="37"/>
      <c r="C77" s="37"/>
      <c r="D77" s="37"/>
      <c r="E77" s="63">
        <v>0</v>
      </c>
      <c r="F77" s="38"/>
      <c r="G77" s="38"/>
      <c r="H77" s="37"/>
    </row>
    <row r="78" spans="1:10" hidden="1" x14ac:dyDescent="0.3">
      <c r="A78" s="36" t="s">
        <v>49</v>
      </c>
      <c r="B78" s="37">
        <v>0</v>
      </c>
      <c r="C78" s="37"/>
      <c r="D78" s="37"/>
      <c r="E78" s="63">
        <f>(B78)-(C78)</f>
        <v>0</v>
      </c>
      <c r="F78" s="38"/>
      <c r="G78" s="38"/>
      <c r="H78" s="37"/>
    </row>
    <row r="79" spans="1:10" hidden="1" x14ac:dyDescent="0.3">
      <c r="A79" s="36" t="s">
        <v>50</v>
      </c>
      <c r="B79" s="37"/>
      <c r="C79" s="37"/>
      <c r="D79" s="37"/>
      <c r="E79" s="63">
        <v>0</v>
      </c>
      <c r="F79" s="38"/>
      <c r="G79" s="38"/>
      <c r="H79" s="37"/>
    </row>
    <row r="80" spans="1:10" hidden="1" x14ac:dyDescent="0.3">
      <c r="A80" s="36" t="s">
        <v>51</v>
      </c>
      <c r="B80" s="37">
        <v>0</v>
      </c>
      <c r="C80" s="37"/>
      <c r="D80" s="37"/>
      <c r="E80" s="63">
        <f>(B80)-(C80)</f>
        <v>0</v>
      </c>
      <c r="F80" s="38"/>
      <c r="G80" s="38"/>
      <c r="H80" s="37"/>
    </row>
    <row r="81" spans="1:9" hidden="1" x14ac:dyDescent="0.3">
      <c r="A81" s="36" t="s">
        <v>128</v>
      </c>
      <c r="B81" s="37"/>
      <c r="C81" s="37"/>
      <c r="D81" s="37"/>
      <c r="E81" s="63">
        <v>0</v>
      </c>
      <c r="F81" s="38"/>
      <c r="G81" s="38"/>
      <c r="H81" s="37"/>
    </row>
    <row r="82" spans="1:9" hidden="1" x14ac:dyDescent="0.3">
      <c r="A82" s="36" t="s">
        <v>52</v>
      </c>
      <c r="B82" s="37"/>
      <c r="C82" s="37"/>
      <c r="D82" s="37"/>
      <c r="E82" s="63">
        <v>0</v>
      </c>
      <c r="F82" s="38"/>
      <c r="G82" s="39"/>
      <c r="H82" s="37"/>
    </row>
    <row r="83" spans="1:9" x14ac:dyDescent="0.3">
      <c r="A83" s="36" t="s">
        <v>53</v>
      </c>
      <c r="B83" s="74">
        <f>SUBTOTAL(9,B72:B82)</f>
        <v>1731.59</v>
      </c>
      <c r="C83" s="74">
        <f>SUBTOTAL(9,C72:C82)</f>
        <v>5000</v>
      </c>
      <c r="D83" s="74">
        <f>SUBTOTAL(9,D72:D82)</f>
        <v>5000</v>
      </c>
      <c r="E83" s="75">
        <f>SUBTOTAL(9,E72:E82)</f>
        <v>-3268.41</v>
      </c>
      <c r="F83" s="40">
        <f>SUBTOTAL(9,F72:F82)</f>
        <v>5000</v>
      </c>
      <c r="G83" s="39"/>
      <c r="H83" s="74">
        <f>SUBTOTAL(9,H72:H82)</f>
        <v>1689.21</v>
      </c>
      <c r="I83" s="53"/>
    </row>
    <row r="84" spans="1:9" x14ac:dyDescent="0.3">
      <c r="A84" s="36" t="s">
        <v>54</v>
      </c>
      <c r="B84" s="37"/>
      <c r="C84" s="37"/>
      <c r="D84" s="37"/>
      <c r="E84" s="63"/>
      <c r="F84" s="38"/>
      <c r="G84" s="38"/>
      <c r="H84" s="37"/>
    </row>
    <row r="85" spans="1:9" x14ac:dyDescent="0.3">
      <c r="A85" s="36" t="s">
        <v>234</v>
      </c>
      <c r="B85" s="37">
        <v>3936.85</v>
      </c>
      <c r="C85" s="37">
        <f>16433</f>
        <v>16433</v>
      </c>
      <c r="D85" s="37"/>
      <c r="E85" s="63">
        <f>(B85)-(C85)</f>
        <v>-12496.15</v>
      </c>
      <c r="F85" s="38"/>
      <c r="G85" s="38"/>
      <c r="H85" s="37"/>
    </row>
    <row r="86" spans="1:9" x14ac:dyDescent="0.3">
      <c r="A86" s="36" t="s">
        <v>245</v>
      </c>
      <c r="B86" s="74">
        <f>SUBTOTAL(9,B84:B85)</f>
        <v>3936.85</v>
      </c>
      <c r="C86" s="74">
        <f t="shared" ref="C86:F86" si="6">SUBTOTAL(9,C84:C85)</f>
        <v>16433</v>
      </c>
      <c r="D86" s="74">
        <f t="shared" si="6"/>
        <v>0</v>
      </c>
      <c r="E86" s="75">
        <f t="shared" si="6"/>
        <v>-12496.15</v>
      </c>
      <c r="F86" s="40">
        <f t="shared" si="6"/>
        <v>0</v>
      </c>
      <c r="G86" s="39"/>
      <c r="H86" s="74">
        <f>SUBTOTAL(9,H84:H85)</f>
        <v>0</v>
      </c>
    </row>
    <row r="87" spans="1:9" x14ac:dyDescent="0.3">
      <c r="A87" s="36" t="s">
        <v>55</v>
      </c>
      <c r="B87" s="37">
        <v>394.22</v>
      </c>
      <c r="C87" s="37">
        <v>2000</v>
      </c>
      <c r="D87" s="37">
        <v>2000</v>
      </c>
      <c r="E87" s="63">
        <f t="shared" ref="E87:E95" si="7">(B87)-(C87)</f>
        <v>-1605.78</v>
      </c>
      <c r="F87" s="38">
        <v>2000</v>
      </c>
      <c r="G87" s="38"/>
      <c r="H87" s="37">
        <v>404.26</v>
      </c>
    </row>
    <row r="88" spans="1:9" hidden="1" x14ac:dyDescent="0.3">
      <c r="A88" s="36" t="s">
        <v>5</v>
      </c>
      <c r="B88" s="37"/>
      <c r="C88" s="37"/>
      <c r="D88" s="37"/>
      <c r="E88" s="63">
        <f t="shared" si="7"/>
        <v>0</v>
      </c>
      <c r="F88" s="38"/>
      <c r="G88" s="38"/>
      <c r="H88" s="37"/>
    </row>
    <row r="89" spans="1:9" hidden="1" x14ac:dyDescent="0.3">
      <c r="A89" s="36" t="s">
        <v>106</v>
      </c>
      <c r="B89" s="37"/>
      <c r="C89" s="37">
        <v>0</v>
      </c>
      <c r="D89" s="37">
        <v>0</v>
      </c>
      <c r="E89" s="63">
        <f t="shared" si="7"/>
        <v>0</v>
      </c>
      <c r="F89" s="38">
        <v>0</v>
      </c>
      <c r="G89" s="38"/>
      <c r="H89" s="37"/>
    </row>
    <row r="90" spans="1:9" hidden="1" x14ac:dyDescent="0.3">
      <c r="A90" s="36" t="s">
        <v>107</v>
      </c>
      <c r="B90" s="37"/>
      <c r="C90" s="37">
        <v>0</v>
      </c>
      <c r="D90" s="37">
        <v>0</v>
      </c>
      <c r="E90" s="63">
        <f t="shared" si="7"/>
        <v>0</v>
      </c>
      <c r="F90" s="38">
        <v>0</v>
      </c>
      <c r="G90" s="38"/>
      <c r="H90" s="37"/>
    </row>
    <row r="91" spans="1:9" hidden="1" x14ac:dyDescent="0.3">
      <c r="A91" s="36" t="s">
        <v>108</v>
      </c>
      <c r="B91" s="37"/>
      <c r="C91" s="37">
        <v>0</v>
      </c>
      <c r="D91" s="37">
        <v>0</v>
      </c>
      <c r="E91" s="63">
        <f t="shared" si="7"/>
        <v>0</v>
      </c>
      <c r="F91" s="38">
        <v>0</v>
      </c>
      <c r="G91" s="38"/>
      <c r="H91" s="37"/>
    </row>
    <row r="92" spans="1:9" hidden="1" x14ac:dyDescent="0.3">
      <c r="A92" s="36" t="s">
        <v>62</v>
      </c>
      <c r="B92" s="37"/>
      <c r="C92" s="37">
        <v>0</v>
      </c>
      <c r="D92" s="37">
        <v>0</v>
      </c>
      <c r="E92" s="63">
        <f t="shared" si="7"/>
        <v>0</v>
      </c>
      <c r="F92" s="38">
        <v>0</v>
      </c>
      <c r="G92" s="39"/>
      <c r="H92" s="37"/>
    </row>
    <row r="93" spans="1:9" hidden="1" x14ac:dyDescent="0.3">
      <c r="A93" s="36" t="s">
        <v>10</v>
      </c>
      <c r="B93" s="74"/>
      <c r="C93" s="74">
        <f>SUBTOTAL(9,C88:C92)</f>
        <v>0</v>
      </c>
      <c r="D93" s="74">
        <f>SUBTOTAL(9,D88:D92)</f>
        <v>0</v>
      </c>
      <c r="E93" s="75">
        <f t="shared" si="7"/>
        <v>0</v>
      </c>
      <c r="F93" s="40">
        <f>SUBTOTAL(9,F88:F92)</f>
        <v>0</v>
      </c>
      <c r="G93" s="39"/>
      <c r="H93" s="74">
        <f>SUBTOTAL(9,H88:H92)</f>
        <v>0</v>
      </c>
    </row>
    <row r="94" spans="1:9" x14ac:dyDescent="0.3">
      <c r="A94" s="36" t="s">
        <v>56</v>
      </c>
      <c r="B94" s="37">
        <v>19631</v>
      </c>
      <c r="C94" s="37">
        <f>12500+3852.5+4500</f>
        <v>20852.5</v>
      </c>
      <c r="D94" s="37">
        <v>12500</v>
      </c>
      <c r="E94" s="63">
        <f t="shared" si="7"/>
        <v>-1221.5</v>
      </c>
      <c r="F94" s="38">
        <v>22000</v>
      </c>
      <c r="G94" s="38"/>
      <c r="H94" s="37">
        <f>11111.34</f>
        <v>11111.34</v>
      </c>
      <c r="I94" s="59" t="s">
        <v>277</v>
      </c>
    </row>
    <row r="95" spans="1:9" hidden="1" x14ac:dyDescent="0.3">
      <c r="A95" s="36" t="s">
        <v>57</v>
      </c>
      <c r="B95" s="37"/>
      <c r="C95" s="37"/>
      <c r="D95" s="37"/>
      <c r="E95" s="63">
        <f t="shared" si="7"/>
        <v>0</v>
      </c>
      <c r="F95" s="38"/>
      <c r="G95" s="38"/>
      <c r="H95" s="37"/>
    </row>
    <row r="96" spans="1:9" hidden="1" x14ac:dyDescent="0.3">
      <c r="A96" s="36" t="s">
        <v>133</v>
      </c>
      <c r="B96" s="37"/>
      <c r="C96" s="37"/>
      <c r="D96" s="37"/>
      <c r="E96" s="63">
        <v>0</v>
      </c>
      <c r="F96" s="38"/>
      <c r="G96" s="38"/>
      <c r="H96" s="37"/>
    </row>
    <row r="97" spans="1:9" hidden="1" x14ac:dyDescent="0.3">
      <c r="A97" s="36" t="s">
        <v>109</v>
      </c>
      <c r="B97" s="37"/>
      <c r="C97" s="37"/>
      <c r="D97" s="37"/>
      <c r="E97" s="63">
        <v>0</v>
      </c>
      <c r="F97" s="38"/>
      <c r="G97" s="38"/>
      <c r="H97" s="37"/>
    </row>
    <row r="98" spans="1:9" hidden="1" x14ac:dyDescent="0.3">
      <c r="A98" s="36" t="s">
        <v>58</v>
      </c>
      <c r="B98" s="37"/>
      <c r="C98" s="37"/>
      <c r="D98" s="37"/>
      <c r="E98" s="63">
        <v>0</v>
      </c>
      <c r="F98" s="38"/>
      <c r="G98" s="38"/>
      <c r="H98" s="37"/>
    </row>
    <row r="99" spans="1:9" hidden="1" x14ac:dyDescent="0.3">
      <c r="A99" s="36" t="s">
        <v>110</v>
      </c>
      <c r="B99" s="37">
        <v>0</v>
      </c>
      <c r="C99" s="37"/>
      <c r="D99" s="37"/>
      <c r="E99" s="63">
        <f>(B99)-(C99)</f>
        <v>0</v>
      </c>
      <c r="F99" s="38"/>
      <c r="G99" s="38"/>
      <c r="H99" s="37">
        <v>0</v>
      </c>
    </row>
    <row r="100" spans="1:9" hidden="1" x14ac:dyDescent="0.3">
      <c r="A100" s="36" t="s">
        <v>59</v>
      </c>
      <c r="B100" s="37"/>
      <c r="C100" s="37"/>
      <c r="D100" s="37"/>
      <c r="E100" s="63">
        <v>0</v>
      </c>
      <c r="F100" s="38"/>
      <c r="G100" s="38"/>
      <c r="H100" s="37"/>
    </row>
    <row r="101" spans="1:9" hidden="1" x14ac:dyDescent="0.3">
      <c r="A101" s="36" t="s">
        <v>60</v>
      </c>
      <c r="B101" s="37"/>
      <c r="C101" s="37"/>
      <c r="D101" s="37"/>
      <c r="E101" s="63">
        <v>0</v>
      </c>
      <c r="F101" s="38"/>
      <c r="G101" s="38"/>
      <c r="H101" s="37"/>
    </row>
    <row r="102" spans="1:9" hidden="1" x14ac:dyDescent="0.3">
      <c r="A102" s="36" t="s">
        <v>129</v>
      </c>
      <c r="B102" s="37"/>
      <c r="C102" s="37"/>
      <c r="D102" s="37"/>
      <c r="E102" s="63">
        <v>0</v>
      </c>
      <c r="F102" s="38"/>
      <c r="G102" s="38"/>
      <c r="H102" s="37"/>
    </row>
    <row r="103" spans="1:9" hidden="1" x14ac:dyDescent="0.3">
      <c r="A103" s="36" t="s">
        <v>130</v>
      </c>
      <c r="B103" s="37"/>
      <c r="C103" s="37"/>
      <c r="D103" s="37"/>
      <c r="E103" s="63">
        <v>0</v>
      </c>
      <c r="F103" s="38"/>
      <c r="G103" s="38"/>
      <c r="H103" s="37"/>
    </row>
    <row r="104" spans="1:9" hidden="1" x14ac:dyDescent="0.3">
      <c r="A104" s="36" t="s">
        <v>161</v>
      </c>
      <c r="B104" s="37"/>
      <c r="C104" s="37"/>
      <c r="D104" s="37"/>
      <c r="E104" s="63">
        <v>0</v>
      </c>
      <c r="F104" s="38"/>
      <c r="G104" s="38"/>
      <c r="H104" s="37"/>
    </row>
    <row r="105" spans="1:9" hidden="1" x14ac:dyDescent="0.3">
      <c r="A105" s="36" t="s">
        <v>61</v>
      </c>
      <c r="B105" s="37"/>
      <c r="C105" s="37"/>
      <c r="D105" s="37"/>
      <c r="E105" s="63">
        <v>0</v>
      </c>
      <c r="F105" s="38"/>
      <c r="G105" s="38"/>
      <c r="H105" s="37"/>
    </row>
    <row r="106" spans="1:9" hidden="1" x14ac:dyDescent="0.3">
      <c r="A106" s="36" t="s">
        <v>126</v>
      </c>
      <c r="B106" s="37"/>
      <c r="C106" s="37"/>
      <c r="D106" s="37"/>
      <c r="E106" s="63">
        <v>0</v>
      </c>
      <c r="F106" s="38"/>
      <c r="G106" s="38"/>
      <c r="H106" s="37"/>
    </row>
    <row r="107" spans="1:9" hidden="1" x14ac:dyDescent="0.3">
      <c r="A107" s="36" t="s">
        <v>62</v>
      </c>
      <c r="B107" s="37"/>
      <c r="C107" s="37"/>
      <c r="D107" s="37"/>
      <c r="E107" s="63">
        <v>0</v>
      </c>
      <c r="F107" s="38"/>
      <c r="G107" s="38"/>
      <c r="H107" s="37"/>
    </row>
    <row r="108" spans="1:9" hidden="1" x14ac:dyDescent="0.3">
      <c r="A108" s="36" t="s">
        <v>137</v>
      </c>
      <c r="B108" s="37"/>
      <c r="C108" s="37"/>
      <c r="D108" s="37"/>
      <c r="E108" s="63">
        <f>(B108)-(C108)</f>
        <v>0</v>
      </c>
      <c r="F108" s="38"/>
      <c r="G108" s="38"/>
      <c r="H108" s="37"/>
    </row>
    <row r="109" spans="1:9" hidden="1" x14ac:dyDescent="0.3">
      <c r="A109" s="36" t="s">
        <v>63</v>
      </c>
      <c r="B109" s="37"/>
      <c r="C109" s="37"/>
      <c r="D109" s="37"/>
      <c r="E109" s="63">
        <f>(B109)-(C109)</f>
        <v>0</v>
      </c>
      <c r="F109" s="38"/>
      <c r="G109" s="39"/>
      <c r="H109" s="37"/>
    </row>
    <row r="110" spans="1:9" x14ac:dyDescent="0.3">
      <c r="A110" s="36" t="s">
        <v>64</v>
      </c>
      <c r="B110" s="74">
        <f>SUBTOTAL(9,B94:B109)</f>
        <v>19631</v>
      </c>
      <c r="C110" s="74">
        <f>SUBTOTAL(9,C94:C109)</f>
        <v>20852.5</v>
      </c>
      <c r="D110" s="74">
        <f>SUBTOTAL(9,D87:D109)</f>
        <v>14500</v>
      </c>
      <c r="E110" s="75">
        <f>SUBTOTAL(9,E94:E109)</f>
        <v>-1221.5</v>
      </c>
      <c r="F110" s="40">
        <f>SUBTOTAL(9,F94:F109)</f>
        <v>22000</v>
      </c>
      <c r="G110" s="39"/>
      <c r="H110" s="74">
        <f>SUBTOTAL(9,H94:H109)</f>
        <v>11111.34</v>
      </c>
      <c r="I110" s="53"/>
    </row>
    <row r="111" spans="1:9" x14ac:dyDescent="0.3">
      <c r="A111" s="36" t="s">
        <v>17</v>
      </c>
      <c r="B111" s="37">
        <v>18494.46</v>
      </c>
      <c r="C111" s="37">
        <v>34805</v>
      </c>
      <c r="D111" s="37"/>
      <c r="E111" s="63">
        <f t="shared" ref="E111:E125" si="8">(B111)-(C111)</f>
        <v>-16310.54</v>
      </c>
      <c r="F111" s="38">
        <v>19000</v>
      </c>
      <c r="G111" s="38"/>
      <c r="H111" s="37">
        <v>0</v>
      </c>
    </row>
    <row r="112" spans="1:9" hidden="1" x14ac:dyDescent="0.3">
      <c r="A112" s="36" t="s">
        <v>239</v>
      </c>
      <c r="B112" s="37"/>
      <c r="C112" s="37"/>
      <c r="D112" s="37"/>
      <c r="E112" s="63">
        <f t="shared" si="8"/>
        <v>0</v>
      </c>
      <c r="F112" s="38"/>
      <c r="G112" s="38"/>
      <c r="H112" s="37"/>
    </row>
    <row r="113" spans="1:9" hidden="1" x14ac:dyDescent="0.3">
      <c r="A113" s="36" t="s">
        <v>135</v>
      </c>
      <c r="B113" s="37"/>
      <c r="C113" s="37"/>
      <c r="D113" s="37"/>
      <c r="E113" s="63">
        <f t="shared" si="8"/>
        <v>0</v>
      </c>
      <c r="F113" s="38"/>
      <c r="G113" s="38"/>
      <c r="H113" s="37"/>
    </row>
    <row r="114" spans="1:9" hidden="1" x14ac:dyDescent="0.3">
      <c r="A114" s="36" t="s">
        <v>112</v>
      </c>
      <c r="B114" s="37"/>
      <c r="C114" s="37"/>
      <c r="D114" s="37"/>
      <c r="E114" s="63">
        <f t="shared" si="8"/>
        <v>0</v>
      </c>
      <c r="F114" s="38"/>
      <c r="G114" s="38"/>
      <c r="H114" s="37"/>
    </row>
    <row r="115" spans="1:9" hidden="1" x14ac:dyDescent="0.3">
      <c r="A115" s="36" t="s">
        <v>113</v>
      </c>
      <c r="B115" s="37"/>
      <c r="C115" s="37"/>
      <c r="D115" s="37"/>
      <c r="E115" s="63">
        <f t="shared" si="8"/>
        <v>0</v>
      </c>
      <c r="F115" s="38"/>
      <c r="G115" s="38"/>
      <c r="H115" s="37"/>
    </row>
    <row r="116" spans="1:9" hidden="1" x14ac:dyDescent="0.3">
      <c r="A116" s="36" t="s">
        <v>114</v>
      </c>
      <c r="B116" s="37"/>
      <c r="C116" s="37"/>
      <c r="D116" s="37"/>
      <c r="E116" s="63">
        <f t="shared" si="8"/>
        <v>0</v>
      </c>
      <c r="F116" s="38"/>
      <c r="G116" s="38"/>
      <c r="H116" s="37"/>
    </row>
    <row r="117" spans="1:9" hidden="1" x14ac:dyDescent="0.3">
      <c r="A117" s="36" t="s">
        <v>240</v>
      </c>
      <c r="B117" s="37"/>
      <c r="C117" s="37"/>
      <c r="D117" s="37"/>
      <c r="E117" s="63">
        <f t="shared" si="8"/>
        <v>0</v>
      </c>
      <c r="F117" s="38"/>
      <c r="G117" s="38"/>
      <c r="H117" s="37"/>
    </row>
    <row r="118" spans="1:9" hidden="1" x14ac:dyDescent="0.3">
      <c r="A118" s="36" t="s">
        <v>115</v>
      </c>
      <c r="B118" s="37"/>
      <c r="C118" s="37"/>
      <c r="D118" s="37"/>
      <c r="E118" s="63">
        <f t="shared" si="8"/>
        <v>0</v>
      </c>
      <c r="F118" s="38"/>
      <c r="G118" s="38"/>
      <c r="H118" s="37"/>
    </row>
    <row r="119" spans="1:9" hidden="1" x14ac:dyDescent="0.3">
      <c r="A119" s="36" t="s">
        <v>25</v>
      </c>
      <c r="B119" s="37"/>
      <c r="C119" s="37"/>
      <c r="D119" s="37"/>
      <c r="E119" s="63">
        <f t="shared" si="8"/>
        <v>0</v>
      </c>
      <c r="F119" s="38"/>
      <c r="G119" s="38"/>
      <c r="H119" s="37"/>
    </row>
    <row r="120" spans="1:9" hidden="1" x14ac:dyDescent="0.3">
      <c r="A120" s="36" t="s">
        <v>116</v>
      </c>
      <c r="B120" s="37"/>
      <c r="C120" s="37"/>
      <c r="D120" s="37"/>
      <c r="E120" s="63">
        <f t="shared" si="8"/>
        <v>0</v>
      </c>
      <c r="F120" s="38"/>
      <c r="G120" s="38"/>
      <c r="H120" s="37"/>
    </row>
    <row r="121" spans="1:9" hidden="1" x14ac:dyDescent="0.3">
      <c r="A121" s="36" t="s">
        <v>241</v>
      </c>
      <c r="B121" s="37"/>
      <c r="C121" s="37"/>
      <c r="D121" s="37"/>
      <c r="E121" s="63">
        <f t="shared" si="8"/>
        <v>0</v>
      </c>
      <c r="F121" s="38"/>
      <c r="G121" s="38"/>
      <c r="H121" s="37"/>
    </row>
    <row r="122" spans="1:9" hidden="1" x14ac:dyDescent="0.3">
      <c r="A122" s="36" t="s">
        <v>117</v>
      </c>
      <c r="B122" s="37"/>
      <c r="C122" s="37"/>
      <c r="D122" s="37"/>
      <c r="E122" s="63">
        <f t="shared" si="8"/>
        <v>0</v>
      </c>
      <c r="F122" s="38"/>
      <c r="G122" s="38"/>
      <c r="H122" s="37"/>
      <c r="I122" s="53"/>
    </row>
    <row r="123" spans="1:9" hidden="1" x14ac:dyDescent="0.3">
      <c r="A123" s="36" t="s">
        <v>118</v>
      </c>
      <c r="B123" s="37"/>
      <c r="C123" s="37"/>
      <c r="D123" s="37"/>
      <c r="E123" s="63">
        <f t="shared" si="8"/>
        <v>0</v>
      </c>
      <c r="F123" s="38"/>
      <c r="G123" s="38"/>
      <c r="H123" s="37"/>
    </row>
    <row r="124" spans="1:9" hidden="1" x14ac:dyDescent="0.3">
      <c r="A124" s="36" t="s">
        <v>28</v>
      </c>
      <c r="B124" s="37"/>
      <c r="C124" s="37"/>
      <c r="D124" s="37"/>
      <c r="E124" s="63">
        <f t="shared" si="8"/>
        <v>0</v>
      </c>
      <c r="F124" s="38"/>
      <c r="G124" s="38"/>
      <c r="H124" s="37"/>
    </row>
    <row r="125" spans="1:9" hidden="1" x14ac:dyDescent="0.3">
      <c r="A125" s="36" t="s">
        <v>120</v>
      </c>
      <c r="B125" s="37"/>
      <c r="C125" s="37"/>
      <c r="D125" s="37"/>
      <c r="E125" s="63">
        <f t="shared" si="8"/>
        <v>0</v>
      </c>
      <c r="F125" s="38"/>
      <c r="G125" s="39"/>
      <c r="H125" s="37"/>
    </row>
    <row r="126" spans="1:9" x14ac:dyDescent="0.3">
      <c r="A126" s="36" t="s">
        <v>232</v>
      </c>
      <c r="B126" s="74">
        <f>SUBTOTAL(9,B111:B125)</f>
        <v>18494.46</v>
      </c>
      <c r="C126" s="74">
        <f t="shared" ref="C126:F126" si="9">SUBTOTAL(9,C111:C125)</f>
        <v>34805</v>
      </c>
      <c r="D126" s="74">
        <f t="shared" si="9"/>
        <v>0</v>
      </c>
      <c r="E126" s="75">
        <f t="shared" si="9"/>
        <v>-16310.54</v>
      </c>
      <c r="F126" s="40">
        <f t="shared" si="9"/>
        <v>19000</v>
      </c>
      <c r="G126" s="39"/>
      <c r="H126" s="74">
        <f>SUBTOTAL(9,H111:H125)</f>
        <v>0</v>
      </c>
    </row>
    <row r="127" spans="1:9" hidden="1" x14ac:dyDescent="0.3">
      <c r="A127" s="36" t="s">
        <v>65</v>
      </c>
      <c r="B127" s="37"/>
      <c r="C127" s="37"/>
      <c r="D127" s="37"/>
      <c r="E127" s="63">
        <f>(B127)-(C127)</f>
        <v>0</v>
      </c>
      <c r="F127" s="38"/>
      <c r="G127" s="38"/>
      <c r="H127" s="37"/>
    </row>
    <row r="128" spans="1:9" hidden="1" x14ac:dyDescent="0.3">
      <c r="A128" s="36" t="s">
        <v>38</v>
      </c>
      <c r="B128" s="37"/>
      <c r="C128" s="37"/>
      <c r="D128" s="37"/>
      <c r="E128" s="63">
        <f>(B128)-(C128)</f>
        <v>0</v>
      </c>
      <c r="F128" s="38"/>
      <c r="G128" s="39"/>
      <c r="H128" s="37"/>
    </row>
    <row r="129" spans="1:9" hidden="1" x14ac:dyDescent="0.3">
      <c r="A129" s="36" t="s">
        <v>66</v>
      </c>
      <c r="B129" s="74"/>
      <c r="C129" s="74">
        <f>(C127)+(C128)</f>
        <v>0</v>
      </c>
      <c r="D129" s="74">
        <f>(D127)+(D128)</f>
        <v>0</v>
      </c>
      <c r="E129" s="75">
        <f>(B129)-(C129)</f>
        <v>0</v>
      </c>
      <c r="F129" s="40">
        <f>(F127)+(F128)</f>
        <v>0</v>
      </c>
      <c r="G129" s="39"/>
      <c r="H129" s="74">
        <f>(H127)+(H128)</f>
        <v>0</v>
      </c>
    </row>
    <row r="130" spans="1:9" ht="15" customHeight="1" x14ac:dyDescent="0.3">
      <c r="A130" s="36" t="s">
        <v>67</v>
      </c>
      <c r="B130" s="74">
        <f>SUBTOTAL(9,B85:B129)</f>
        <v>42456.53</v>
      </c>
      <c r="C130" s="74">
        <f>SUBTOTAL(9,C85:C129)</f>
        <v>74090.5</v>
      </c>
      <c r="D130" s="74">
        <f>(D129)-(0)</f>
        <v>0</v>
      </c>
      <c r="E130" s="75">
        <f>SUBTOTAL(9,E85:E129)</f>
        <v>-31633.97</v>
      </c>
      <c r="F130" s="40">
        <f>SUBTOTAL(9,F85:F129)</f>
        <v>43000</v>
      </c>
      <c r="G130" s="39"/>
      <c r="H130" s="74">
        <f>SUBTOTAL(9,H85:H129)</f>
        <v>11515.6</v>
      </c>
    </row>
    <row r="131" spans="1:9" x14ac:dyDescent="0.3">
      <c r="A131" s="36" t="s">
        <v>244</v>
      </c>
      <c r="B131" s="74">
        <f>SUBTOTAL(9,B72:B130)</f>
        <v>44188.119999999995</v>
      </c>
      <c r="C131" s="74">
        <f t="shared" ref="C131:F131" si="10">SUBTOTAL(9,C72:C130)</f>
        <v>79090.5</v>
      </c>
      <c r="D131" s="74">
        <f t="shared" si="10"/>
        <v>19500</v>
      </c>
      <c r="E131" s="75">
        <f t="shared" si="10"/>
        <v>-34902.380000000005</v>
      </c>
      <c r="F131" s="40">
        <f t="shared" si="10"/>
        <v>48000</v>
      </c>
      <c r="G131" s="39"/>
      <c r="H131" s="74">
        <f>SUBTOTAL(9,H72:H130)</f>
        <v>13204.810000000001</v>
      </c>
      <c r="I131" s="53"/>
    </row>
    <row r="132" spans="1:9" x14ac:dyDescent="0.3">
      <c r="A132" s="36" t="s">
        <v>68</v>
      </c>
      <c r="B132" s="37"/>
      <c r="C132" s="37"/>
      <c r="D132" s="37"/>
      <c r="E132" s="63"/>
      <c r="F132" s="38"/>
      <c r="G132" s="38"/>
      <c r="H132" s="37"/>
    </row>
    <row r="133" spans="1:9" hidden="1" x14ac:dyDescent="0.3">
      <c r="A133" s="36" t="s">
        <v>69</v>
      </c>
      <c r="B133" s="37"/>
      <c r="C133" s="37">
        <v>0</v>
      </c>
      <c r="D133" s="37">
        <v>0</v>
      </c>
      <c r="E133" s="63">
        <f>(B133)-(C133)</f>
        <v>0</v>
      </c>
      <c r="F133" s="38">
        <v>0</v>
      </c>
      <c r="G133" s="38"/>
      <c r="H133" s="37"/>
    </row>
    <row r="134" spans="1:9" hidden="1" x14ac:dyDescent="0.3">
      <c r="A134" s="36" t="s">
        <v>162</v>
      </c>
      <c r="B134" s="37"/>
      <c r="C134" s="37"/>
      <c r="D134" s="37"/>
      <c r="E134" s="63"/>
      <c r="F134" s="38"/>
      <c r="G134" s="38"/>
      <c r="H134" s="37"/>
    </row>
    <row r="135" spans="1:9" hidden="1" x14ac:dyDescent="0.3">
      <c r="A135" s="36" t="s">
        <v>163</v>
      </c>
      <c r="B135" s="37"/>
      <c r="C135" s="37"/>
      <c r="D135" s="37"/>
      <c r="E135" s="63"/>
      <c r="F135" s="38"/>
      <c r="G135" s="38"/>
      <c r="H135" s="37"/>
    </row>
    <row r="136" spans="1:9" x14ac:dyDescent="0.3">
      <c r="A136" s="36" t="s">
        <v>149</v>
      </c>
      <c r="B136" s="38">
        <f>SUBTOTAL(9,B137:B141)</f>
        <v>23286.67</v>
      </c>
      <c r="C136" s="38">
        <f t="shared" ref="C136:D136" si="11">SUBTOTAL(9,C137:C141)</f>
        <v>26320</v>
      </c>
      <c r="D136" s="37">
        <f t="shared" si="11"/>
        <v>0</v>
      </c>
      <c r="E136" s="63">
        <f>(B136)-(C136)</f>
        <v>-3033.3300000000017</v>
      </c>
      <c r="F136" s="38"/>
      <c r="G136" s="38"/>
      <c r="H136" s="53"/>
    </row>
    <row r="137" spans="1:9" x14ac:dyDescent="0.3">
      <c r="A137" s="36" t="s">
        <v>214</v>
      </c>
      <c r="B137" s="64">
        <f>1266.67</f>
        <v>1266.67</v>
      </c>
      <c r="C137" s="64">
        <v>1300</v>
      </c>
      <c r="D137" s="37"/>
      <c r="E137" s="63"/>
      <c r="F137" s="38"/>
      <c r="G137" s="38"/>
      <c r="H137" s="37"/>
    </row>
    <row r="138" spans="1:9" x14ac:dyDescent="0.3">
      <c r="A138" s="36" t="s">
        <v>271</v>
      </c>
      <c r="B138" s="64">
        <v>0</v>
      </c>
      <c r="C138" s="64">
        <v>3000</v>
      </c>
      <c r="D138" s="37"/>
      <c r="E138" s="63"/>
      <c r="F138" s="38"/>
      <c r="G138" s="38"/>
      <c r="H138" s="37"/>
    </row>
    <row r="139" spans="1:9" x14ac:dyDescent="0.3">
      <c r="A139" s="36" t="s">
        <v>218</v>
      </c>
      <c r="B139" s="64">
        <v>9520</v>
      </c>
      <c r="C139" s="64">
        <f>8960+560</f>
        <v>9520</v>
      </c>
      <c r="D139" s="37"/>
      <c r="E139" s="63"/>
      <c r="F139" s="38"/>
      <c r="G139" s="38"/>
      <c r="H139" s="37"/>
    </row>
    <row r="140" spans="1:9" x14ac:dyDescent="0.3">
      <c r="A140" s="36" t="s">
        <v>227</v>
      </c>
      <c r="B140" s="64">
        <v>2500</v>
      </c>
      <c r="C140" s="64">
        <v>2500</v>
      </c>
      <c r="D140" s="37"/>
      <c r="E140" s="63"/>
      <c r="F140" s="38"/>
      <c r="G140" s="38"/>
      <c r="H140" s="37"/>
    </row>
    <row r="141" spans="1:9" x14ac:dyDescent="0.3">
      <c r="A141" s="36" t="s">
        <v>219</v>
      </c>
      <c r="B141" s="64">
        <v>10000</v>
      </c>
      <c r="C141" s="64">
        <v>10000</v>
      </c>
      <c r="D141" s="37"/>
      <c r="E141" s="63"/>
      <c r="F141" s="38"/>
      <c r="G141" s="38"/>
      <c r="H141" s="37"/>
    </row>
    <row r="142" spans="1:9" x14ac:dyDescent="0.3">
      <c r="A142" s="36" t="s">
        <v>150</v>
      </c>
      <c r="B142" s="38">
        <f>SUBTOTAL(9,B143:B151)</f>
        <v>16475.310000000001</v>
      </c>
      <c r="C142" s="38">
        <f t="shared" ref="C142:D142" si="12">SUBTOTAL(9,C143:C151)</f>
        <v>27500</v>
      </c>
      <c r="D142" s="37">
        <f t="shared" si="12"/>
        <v>0</v>
      </c>
      <c r="E142" s="63">
        <f>(B142)-(C142)</f>
        <v>-11024.689999999999</v>
      </c>
      <c r="F142" s="38">
        <v>34000</v>
      </c>
      <c r="G142" s="38"/>
      <c r="H142" s="53"/>
    </row>
    <row r="143" spans="1:9" x14ac:dyDescent="0.3">
      <c r="A143" s="36" t="s">
        <v>214</v>
      </c>
      <c r="B143" s="64">
        <f>1266.67</f>
        <v>1266.67</v>
      </c>
      <c r="C143" s="64">
        <v>1300</v>
      </c>
      <c r="D143" s="37"/>
      <c r="E143" s="63"/>
      <c r="F143" s="38"/>
      <c r="G143" s="38"/>
      <c r="H143" s="37"/>
    </row>
    <row r="144" spans="1:9" x14ac:dyDescent="0.3">
      <c r="A144" s="36" t="s">
        <v>233</v>
      </c>
      <c r="B144" s="64">
        <v>0</v>
      </c>
      <c r="C144" s="64">
        <v>1000</v>
      </c>
      <c r="D144" s="37"/>
      <c r="E144" s="63"/>
      <c r="F144" s="38"/>
      <c r="G144" s="38"/>
      <c r="H144" s="37"/>
    </row>
    <row r="145" spans="1:9" x14ac:dyDescent="0.3">
      <c r="A145" s="36" t="s">
        <v>216</v>
      </c>
      <c r="B145" s="64">
        <v>205</v>
      </c>
      <c r="C145" s="64">
        <v>2000</v>
      </c>
      <c r="D145" s="37"/>
      <c r="E145" s="63"/>
      <c r="F145" s="38"/>
      <c r="G145" s="38"/>
      <c r="H145" s="37"/>
    </row>
    <row r="146" spans="1:9" x14ac:dyDescent="0.3">
      <c r="A146" s="36" t="s">
        <v>227</v>
      </c>
      <c r="B146" s="64">
        <v>2500</v>
      </c>
      <c r="C146" s="64">
        <v>2500</v>
      </c>
      <c r="D146" s="37"/>
      <c r="E146" s="63"/>
      <c r="F146" s="38"/>
      <c r="G146" s="38"/>
      <c r="H146" s="37"/>
    </row>
    <row r="147" spans="1:9" x14ac:dyDescent="0.3">
      <c r="A147" s="36" t="s">
        <v>215</v>
      </c>
      <c r="B147" s="64">
        <v>4716</v>
      </c>
      <c r="C147" s="64">
        <f>5000+5000</f>
        <v>10000</v>
      </c>
      <c r="D147" s="37"/>
      <c r="E147" s="63"/>
      <c r="F147" s="38"/>
      <c r="G147" s="38"/>
      <c r="H147" s="37"/>
    </row>
    <row r="148" spans="1:9" x14ac:dyDescent="0.3">
      <c r="A148" s="36" t="s">
        <v>247</v>
      </c>
      <c r="B148" s="64">
        <v>2996.86</v>
      </c>
      <c r="C148" s="64">
        <v>3000</v>
      </c>
      <c r="D148" s="37"/>
      <c r="E148" s="63"/>
      <c r="F148" s="38"/>
      <c r="G148" s="38"/>
      <c r="H148" s="37"/>
    </row>
    <row r="149" spans="1:9" x14ac:dyDescent="0.3">
      <c r="A149" s="36" t="s">
        <v>228</v>
      </c>
      <c r="B149" s="64">
        <f>2928+500</f>
        <v>3428</v>
      </c>
      <c r="C149" s="64">
        <v>4000</v>
      </c>
      <c r="D149" s="37"/>
      <c r="E149" s="63"/>
      <c r="F149" s="38"/>
      <c r="G149" s="38"/>
      <c r="H149" s="37"/>
    </row>
    <row r="150" spans="1:9" x14ac:dyDescent="0.3">
      <c r="A150" s="36" t="s">
        <v>229</v>
      </c>
      <c r="B150" s="64">
        <v>554.75</v>
      </c>
      <c r="C150" s="64">
        <v>2200</v>
      </c>
      <c r="D150" s="37"/>
      <c r="E150" s="63"/>
      <c r="F150" s="38"/>
      <c r="G150" s="38"/>
      <c r="H150" s="37"/>
    </row>
    <row r="151" spans="1:9" x14ac:dyDescent="0.3">
      <c r="A151" s="36" t="s">
        <v>217</v>
      </c>
      <c r="B151" s="64">
        <f>758.03+50</f>
        <v>808.03</v>
      </c>
      <c r="C151" s="64">
        <v>1500</v>
      </c>
      <c r="D151" s="37"/>
      <c r="E151" s="63"/>
      <c r="F151" s="38"/>
      <c r="G151" s="38"/>
      <c r="H151" s="37"/>
    </row>
    <row r="152" spans="1:9" x14ac:dyDescent="0.3">
      <c r="A152" s="36" t="s">
        <v>151</v>
      </c>
      <c r="B152" s="38">
        <f>SUBTOTAL(9,B153:B161)</f>
        <v>15658.619999999999</v>
      </c>
      <c r="C152" s="38">
        <f>SUBTOTAL(9,C153:C161)</f>
        <v>28673</v>
      </c>
      <c r="D152" s="37">
        <v>15000</v>
      </c>
      <c r="E152" s="63">
        <f>B152-C152</f>
        <v>-13014.380000000001</v>
      </c>
      <c r="F152" s="38">
        <v>50000</v>
      </c>
      <c r="G152" s="38"/>
      <c r="I152" s="53" t="s">
        <v>272</v>
      </c>
    </row>
    <row r="153" spans="1:9" x14ac:dyDescent="0.3">
      <c r="A153" s="36" t="s">
        <v>214</v>
      </c>
      <c r="B153" s="64">
        <f>1266.67</f>
        <v>1266.67</v>
      </c>
      <c r="C153" s="64">
        <v>1300</v>
      </c>
      <c r="D153" s="37"/>
      <c r="E153" s="63"/>
      <c r="F153" s="38"/>
      <c r="G153" s="38"/>
      <c r="H153" s="37"/>
    </row>
    <row r="154" spans="1:9" x14ac:dyDescent="0.3">
      <c r="A154" s="36" t="s">
        <v>227</v>
      </c>
      <c r="B154" s="64">
        <v>2500</v>
      </c>
      <c r="C154" s="64">
        <v>2500</v>
      </c>
      <c r="D154" s="37"/>
      <c r="E154" s="63"/>
      <c r="F154" s="38"/>
      <c r="G154" s="38"/>
      <c r="H154" s="37"/>
    </row>
    <row r="155" spans="1:9" x14ac:dyDescent="0.3">
      <c r="A155" s="36" t="s">
        <v>273</v>
      </c>
      <c r="B155" s="64">
        <v>0</v>
      </c>
      <c r="C155" s="64">
        <v>5000</v>
      </c>
      <c r="D155" s="37"/>
      <c r="E155" s="63"/>
      <c r="F155" s="38"/>
      <c r="G155" s="38"/>
      <c r="H155" s="37"/>
    </row>
    <row r="156" spans="1:9" x14ac:dyDescent="0.3">
      <c r="A156" s="36" t="s">
        <v>215</v>
      </c>
      <c r="B156" s="64">
        <v>1500</v>
      </c>
      <c r="C156" s="64">
        <f>1985+1050+1400+700</f>
        <v>5135</v>
      </c>
      <c r="D156" s="37"/>
      <c r="E156" s="63"/>
      <c r="F156" s="38"/>
      <c r="G156" s="38"/>
      <c r="H156" s="37"/>
    </row>
    <row r="157" spans="1:9" x14ac:dyDescent="0.3">
      <c r="A157" s="36" t="s">
        <v>235</v>
      </c>
      <c r="B157" s="64">
        <v>1548</v>
      </c>
      <c r="C157" s="64">
        <v>1548</v>
      </c>
      <c r="D157" s="37"/>
      <c r="E157" s="63"/>
      <c r="F157" s="38"/>
      <c r="G157" s="38"/>
      <c r="H157" s="37"/>
    </row>
    <row r="158" spans="1:9" x14ac:dyDescent="0.3">
      <c r="A158" s="36" t="s">
        <v>247</v>
      </c>
      <c r="B158" s="64">
        <v>8790.32</v>
      </c>
      <c r="C158" s="64">
        <v>8790</v>
      </c>
      <c r="D158" s="37"/>
      <c r="E158" s="63"/>
      <c r="F158" s="38"/>
      <c r="G158" s="38"/>
      <c r="H158" s="37"/>
    </row>
    <row r="159" spans="1:9" x14ac:dyDescent="0.3">
      <c r="A159" s="36" t="s">
        <v>274</v>
      </c>
      <c r="B159" s="64"/>
      <c r="C159" s="64">
        <f>200</f>
        <v>200</v>
      </c>
      <c r="D159" s="37"/>
      <c r="E159" s="63"/>
      <c r="F159" s="38"/>
      <c r="G159" s="38"/>
      <c r="H159" s="37"/>
    </row>
    <row r="160" spans="1:9" x14ac:dyDescent="0.3">
      <c r="A160" s="36" t="s">
        <v>228</v>
      </c>
      <c r="B160" s="64">
        <v>0</v>
      </c>
      <c r="C160" s="64">
        <f>2000+300</f>
        <v>2300</v>
      </c>
      <c r="D160" s="37"/>
      <c r="E160" s="63"/>
      <c r="F160" s="38"/>
      <c r="G160" s="38"/>
      <c r="H160" s="37"/>
    </row>
    <row r="161" spans="1:9" x14ac:dyDescent="0.3">
      <c r="A161" s="36" t="s">
        <v>236</v>
      </c>
      <c r="B161" s="64">
        <v>53.63</v>
      </c>
      <c r="C161" s="64">
        <f>1000+500+200+200</f>
        <v>1900</v>
      </c>
      <c r="D161" s="37"/>
      <c r="E161" s="63"/>
      <c r="F161" s="38"/>
      <c r="G161" s="38"/>
      <c r="H161" s="37"/>
    </row>
    <row r="162" spans="1:9" x14ac:dyDescent="0.3">
      <c r="A162" s="36" t="s">
        <v>263</v>
      </c>
      <c r="B162" s="93"/>
      <c r="C162" s="93"/>
      <c r="D162" s="37"/>
      <c r="E162" s="63"/>
      <c r="F162" s="38">
        <v>45000</v>
      </c>
      <c r="G162" s="38"/>
      <c r="H162" s="37"/>
    </row>
    <row r="163" spans="1:9" x14ac:dyDescent="0.3">
      <c r="A163" s="36" t="s">
        <v>250</v>
      </c>
      <c r="B163" s="37">
        <f>300+300</f>
        <v>600</v>
      </c>
      <c r="C163" s="37">
        <v>800</v>
      </c>
      <c r="D163" s="37">
        <v>150000</v>
      </c>
      <c r="E163" s="63">
        <f t="shared" ref="E163:E177" si="13">(B163)-(C163)</f>
        <v>-200</v>
      </c>
      <c r="F163" s="38">
        <v>800</v>
      </c>
      <c r="G163" s="38"/>
      <c r="H163" s="37"/>
    </row>
    <row r="164" spans="1:9" x14ac:dyDescent="0.3">
      <c r="A164" s="36" t="s">
        <v>251</v>
      </c>
      <c r="B164" s="37">
        <v>375</v>
      </c>
      <c r="C164" s="37">
        <v>1350</v>
      </c>
      <c r="D164" s="37">
        <v>150000</v>
      </c>
      <c r="E164" s="63">
        <f t="shared" si="13"/>
        <v>-975</v>
      </c>
      <c r="F164" s="38">
        <v>1350</v>
      </c>
      <c r="G164" s="38"/>
      <c r="H164" s="37"/>
    </row>
    <row r="165" spans="1:9" x14ac:dyDescent="0.3">
      <c r="A165" s="36" t="s">
        <v>152</v>
      </c>
      <c r="B165" s="37">
        <v>0</v>
      </c>
      <c r="C165" s="37">
        <v>15000</v>
      </c>
      <c r="D165" s="37">
        <v>150000</v>
      </c>
      <c r="E165" s="63">
        <f t="shared" si="13"/>
        <v>-15000</v>
      </c>
      <c r="F165" s="38">
        <v>0</v>
      </c>
      <c r="G165" s="38"/>
      <c r="H165" s="37"/>
    </row>
    <row r="166" spans="1:9" s="45" customFormat="1" x14ac:dyDescent="0.3">
      <c r="A166" s="36" t="s">
        <v>144</v>
      </c>
      <c r="B166" s="37">
        <v>0</v>
      </c>
      <c r="C166" s="37">
        <f>5200</f>
        <v>5200</v>
      </c>
      <c r="D166" s="37">
        <f>5200</f>
        <v>5200</v>
      </c>
      <c r="E166" s="63">
        <f t="shared" si="13"/>
        <v>-5200</v>
      </c>
      <c r="F166" s="38">
        <v>0</v>
      </c>
      <c r="G166" s="44"/>
      <c r="H166" s="37"/>
    </row>
    <row r="167" spans="1:9" s="45" customFormat="1" x14ac:dyDescent="0.3">
      <c r="A167" s="36" t="s">
        <v>264</v>
      </c>
      <c r="B167" s="37">
        <v>11319</v>
      </c>
      <c r="C167" s="37">
        <f>11319</f>
        <v>11319</v>
      </c>
      <c r="D167" s="37">
        <f>11319</f>
        <v>11319</v>
      </c>
      <c r="E167" s="63">
        <f t="shared" si="13"/>
        <v>0</v>
      </c>
      <c r="F167" s="38">
        <v>11040</v>
      </c>
      <c r="G167" s="44"/>
      <c r="H167" s="37"/>
    </row>
    <row r="168" spans="1:9" hidden="1" x14ac:dyDescent="0.3">
      <c r="A168" s="36" t="s">
        <v>146</v>
      </c>
      <c r="B168" s="37">
        <v>0</v>
      </c>
      <c r="C168" s="37"/>
      <c r="D168" s="37"/>
      <c r="E168" s="63">
        <f t="shared" si="13"/>
        <v>0</v>
      </c>
      <c r="F168" s="38"/>
      <c r="G168" s="38"/>
      <c r="H168" s="37"/>
    </row>
    <row r="169" spans="1:9" s="45" customFormat="1" x14ac:dyDescent="0.3">
      <c r="A169" s="41" t="s">
        <v>183</v>
      </c>
      <c r="B169" s="37">
        <v>91605.58</v>
      </c>
      <c r="C169" s="37">
        <v>98000</v>
      </c>
      <c r="D169" s="37">
        <v>98000</v>
      </c>
      <c r="E169" s="63">
        <f t="shared" si="13"/>
        <v>-6394.4199999999983</v>
      </c>
      <c r="F169" s="38">
        <v>98000</v>
      </c>
      <c r="G169" s="46"/>
      <c r="H169" s="37"/>
    </row>
    <row r="170" spans="1:9" s="45" customFormat="1" hidden="1" x14ac:dyDescent="0.3">
      <c r="A170" s="41" t="s">
        <v>70</v>
      </c>
      <c r="B170" s="37"/>
      <c r="C170" s="37">
        <v>0</v>
      </c>
      <c r="D170" s="37">
        <v>0</v>
      </c>
      <c r="E170" s="63">
        <f t="shared" si="13"/>
        <v>0</v>
      </c>
      <c r="F170" s="38">
        <v>0</v>
      </c>
      <c r="G170" s="44"/>
      <c r="H170" s="37"/>
    </row>
    <row r="171" spans="1:9" s="45" customFormat="1" hidden="1" x14ac:dyDescent="0.3">
      <c r="A171" s="41" t="s">
        <v>71</v>
      </c>
      <c r="B171" s="37"/>
      <c r="C171" s="37">
        <v>0</v>
      </c>
      <c r="D171" s="37">
        <v>0</v>
      </c>
      <c r="E171" s="63">
        <f t="shared" si="13"/>
        <v>0</v>
      </c>
      <c r="F171" s="38">
        <v>0</v>
      </c>
      <c r="G171" s="44"/>
      <c r="H171" s="37"/>
    </row>
    <row r="172" spans="1:9" s="45" customFormat="1" hidden="1" x14ac:dyDescent="0.3">
      <c r="A172" s="41" t="s">
        <v>72</v>
      </c>
      <c r="B172" s="37"/>
      <c r="C172" s="37">
        <v>0</v>
      </c>
      <c r="D172" s="37">
        <v>0</v>
      </c>
      <c r="E172" s="63">
        <f t="shared" si="13"/>
        <v>0</v>
      </c>
      <c r="F172" s="38">
        <v>0</v>
      </c>
      <c r="G172" s="44"/>
      <c r="H172" s="37"/>
    </row>
    <row r="173" spans="1:9" s="45" customFormat="1" x14ac:dyDescent="0.3">
      <c r="A173" s="41" t="s">
        <v>73</v>
      </c>
      <c r="B173" s="37">
        <v>43000</v>
      </c>
      <c r="C173" s="37">
        <f>43000</f>
        <v>43000</v>
      </c>
      <c r="D173" s="37">
        <f>43000</f>
        <v>43000</v>
      </c>
      <c r="E173" s="63">
        <f t="shared" si="13"/>
        <v>0</v>
      </c>
      <c r="F173" s="38">
        <f>43000</f>
        <v>43000</v>
      </c>
      <c r="G173" s="44"/>
      <c r="H173" s="37">
        <v>43000</v>
      </c>
      <c r="I173" s="59"/>
    </row>
    <row r="174" spans="1:9" x14ac:dyDescent="0.3">
      <c r="A174" s="41" t="s">
        <v>74</v>
      </c>
      <c r="B174" s="37">
        <v>140</v>
      </c>
      <c r="C174" s="37">
        <v>140</v>
      </c>
      <c r="D174" s="37"/>
      <c r="E174" s="63">
        <f t="shared" si="13"/>
        <v>0</v>
      </c>
      <c r="F174" s="38">
        <v>0</v>
      </c>
      <c r="G174" s="38"/>
      <c r="H174" s="37">
        <v>97.35</v>
      </c>
    </row>
    <row r="175" spans="1:9" s="45" customFormat="1" x14ac:dyDescent="0.3">
      <c r="A175" s="41" t="s">
        <v>75</v>
      </c>
      <c r="B175" s="37">
        <v>0</v>
      </c>
      <c r="C175" s="37">
        <v>0</v>
      </c>
      <c r="D175" s="37">
        <f>15000</f>
        <v>15000</v>
      </c>
      <c r="E175" s="63">
        <f t="shared" si="13"/>
        <v>0</v>
      </c>
      <c r="F175" s="38">
        <v>0</v>
      </c>
      <c r="G175" s="44"/>
      <c r="H175" s="37">
        <v>2385</v>
      </c>
    </row>
    <row r="176" spans="1:9" s="45" customFormat="1" x14ac:dyDescent="0.3">
      <c r="A176" s="41" t="s">
        <v>225</v>
      </c>
      <c r="B176" s="37">
        <v>1000</v>
      </c>
      <c r="C176" s="37">
        <v>1000</v>
      </c>
      <c r="D176" s="37"/>
      <c r="E176" s="63">
        <f t="shared" si="13"/>
        <v>0</v>
      </c>
      <c r="F176" s="38">
        <v>1000</v>
      </c>
      <c r="G176" s="44"/>
      <c r="H176" s="37">
        <v>0</v>
      </c>
    </row>
    <row r="177" spans="1:9" x14ac:dyDescent="0.3">
      <c r="A177" s="41" t="s">
        <v>265</v>
      </c>
      <c r="B177" s="37">
        <v>4230</v>
      </c>
      <c r="C177" s="37">
        <v>6300</v>
      </c>
      <c r="D177" s="37">
        <v>5000</v>
      </c>
      <c r="E177" s="63">
        <f t="shared" si="13"/>
        <v>-2070</v>
      </c>
      <c r="F177" s="38">
        <v>6500</v>
      </c>
      <c r="G177" s="38"/>
      <c r="H177" s="37">
        <f>588+850</f>
        <v>1438</v>
      </c>
      <c r="I177" s="47"/>
    </row>
    <row r="178" spans="1:9" x14ac:dyDescent="0.3">
      <c r="A178" s="41" t="s">
        <v>266</v>
      </c>
      <c r="B178" s="37"/>
      <c r="C178" s="37"/>
      <c r="D178" s="37"/>
      <c r="E178" s="63"/>
      <c r="F178" s="38">
        <v>3500</v>
      </c>
      <c r="G178" s="38"/>
      <c r="H178" s="37"/>
      <c r="I178" s="47"/>
    </row>
    <row r="179" spans="1:9" hidden="1" x14ac:dyDescent="0.3">
      <c r="A179" s="41" t="s">
        <v>77</v>
      </c>
      <c r="B179" s="37">
        <v>0</v>
      </c>
      <c r="C179" s="37"/>
      <c r="D179" s="37"/>
      <c r="E179" s="63">
        <f t="shared" ref="E179:E188" si="14">(B179)-(C179)</f>
        <v>0</v>
      </c>
      <c r="F179" s="38"/>
      <c r="G179" s="38"/>
      <c r="H179" s="37"/>
    </row>
    <row r="180" spans="1:9" x14ac:dyDescent="0.3">
      <c r="A180" s="41" t="s">
        <v>280</v>
      </c>
      <c r="B180" s="37">
        <v>124.09</v>
      </c>
      <c r="C180" s="37">
        <v>160</v>
      </c>
      <c r="D180" s="37">
        <v>0</v>
      </c>
      <c r="E180" s="63">
        <f t="shared" si="14"/>
        <v>-35.909999999999997</v>
      </c>
      <c r="F180" s="38">
        <v>0</v>
      </c>
      <c r="G180" s="38"/>
      <c r="H180" s="37"/>
    </row>
    <row r="181" spans="1:9" hidden="1" x14ac:dyDescent="0.3">
      <c r="A181" s="41" t="s">
        <v>79</v>
      </c>
      <c r="B181" s="37">
        <v>0</v>
      </c>
      <c r="C181" s="37"/>
      <c r="D181" s="37"/>
      <c r="E181" s="63">
        <f t="shared" si="14"/>
        <v>0</v>
      </c>
      <c r="F181" s="38"/>
      <c r="G181" s="38"/>
      <c r="H181" s="37"/>
    </row>
    <row r="182" spans="1:9" hidden="1" x14ac:dyDescent="0.3">
      <c r="A182" s="41" t="s">
        <v>80</v>
      </c>
      <c r="B182" s="37">
        <v>0</v>
      </c>
      <c r="C182" s="37"/>
      <c r="D182" s="37"/>
      <c r="E182" s="63">
        <f t="shared" si="14"/>
        <v>0</v>
      </c>
      <c r="F182" s="38"/>
      <c r="G182" s="38"/>
      <c r="H182" s="37"/>
    </row>
    <row r="183" spans="1:9" hidden="1" x14ac:dyDescent="0.3">
      <c r="A183" s="41" t="s">
        <v>81</v>
      </c>
      <c r="B183" s="37">
        <v>0</v>
      </c>
      <c r="C183" s="37"/>
      <c r="D183" s="37"/>
      <c r="E183" s="63">
        <f t="shared" si="14"/>
        <v>0</v>
      </c>
      <c r="F183" s="38"/>
      <c r="G183" s="38"/>
      <c r="H183" s="37"/>
    </row>
    <row r="184" spans="1:9" hidden="1" x14ac:dyDescent="0.3">
      <c r="A184" s="41" t="s">
        <v>82</v>
      </c>
      <c r="B184" s="37">
        <v>0</v>
      </c>
      <c r="C184" s="37">
        <v>0</v>
      </c>
      <c r="D184" s="37">
        <v>0</v>
      </c>
      <c r="E184" s="63">
        <f t="shared" si="14"/>
        <v>0</v>
      </c>
      <c r="F184" s="38">
        <v>0</v>
      </c>
      <c r="G184" s="38"/>
      <c r="H184" s="37"/>
    </row>
    <row r="185" spans="1:9" hidden="1" x14ac:dyDescent="0.3">
      <c r="A185" s="41" t="s">
        <v>83</v>
      </c>
      <c r="B185" s="37">
        <v>0</v>
      </c>
      <c r="C185" s="37">
        <v>0</v>
      </c>
      <c r="D185" s="37">
        <v>0</v>
      </c>
      <c r="E185" s="63">
        <f t="shared" si="14"/>
        <v>0</v>
      </c>
      <c r="F185" s="38">
        <v>0</v>
      </c>
      <c r="G185" s="38"/>
      <c r="H185" s="37"/>
    </row>
    <row r="186" spans="1:9" ht="15" hidden="1" customHeight="1" x14ac:dyDescent="0.3">
      <c r="A186" s="41" t="s">
        <v>84</v>
      </c>
      <c r="B186" s="37">
        <v>0</v>
      </c>
      <c r="C186" s="37"/>
      <c r="D186" s="37"/>
      <c r="E186" s="63">
        <f t="shared" si="14"/>
        <v>0</v>
      </c>
      <c r="F186" s="38"/>
      <c r="G186" s="38"/>
      <c r="H186" s="37"/>
    </row>
    <row r="187" spans="1:9" hidden="1" x14ac:dyDescent="0.3">
      <c r="A187" s="41" t="s">
        <v>85</v>
      </c>
      <c r="B187" s="37">
        <v>0</v>
      </c>
      <c r="C187" s="37">
        <v>0</v>
      </c>
      <c r="D187" s="37">
        <v>0</v>
      </c>
      <c r="E187" s="63">
        <f t="shared" si="14"/>
        <v>0</v>
      </c>
      <c r="F187" s="38">
        <v>0</v>
      </c>
      <c r="G187" s="38"/>
      <c r="H187" s="37"/>
    </row>
    <row r="188" spans="1:9" hidden="1" x14ac:dyDescent="0.3">
      <c r="A188" s="41" t="s">
        <v>168</v>
      </c>
      <c r="B188" s="37">
        <v>0</v>
      </c>
      <c r="C188" s="37"/>
      <c r="D188" s="37"/>
      <c r="E188" s="63">
        <f t="shared" si="14"/>
        <v>0</v>
      </c>
      <c r="F188" s="38">
        <v>0</v>
      </c>
      <c r="G188" s="38"/>
      <c r="H188" s="37"/>
    </row>
    <row r="189" spans="1:9" hidden="1" x14ac:dyDescent="0.3">
      <c r="A189" s="41" t="s">
        <v>164</v>
      </c>
      <c r="B189" s="37"/>
      <c r="C189" s="37"/>
      <c r="D189" s="37"/>
      <c r="E189" s="63"/>
      <c r="F189" s="38"/>
      <c r="G189" s="38"/>
      <c r="H189" s="37"/>
    </row>
    <row r="190" spans="1:9" x14ac:dyDescent="0.3">
      <c r="A190" s="41" t="s">
        <v>139</v>
      </c>
      <c r="B190" s="37">
        <v>0</v>
      </c>
      <c r="C190" s="37"/>
      <c r="D190" s="37"/>
      <c r="E190" s="63">
        <f t="shared" ref="E190:E211" si="15">(B190)-(C190)</f>
        <v>0</v>
      </c>
      <c r="F190" s="38">
        <v>0</v>
      </c>
      <c r="G190" s="38"/>
      <c r="H190" s="37">
        <v>210.02</v>
      </c>
    </row>
    <row r="191" spans="1:9" x14ac:dyDescent="0.3">
      <c r="A191" s="41" t="s">
        <v>242</v>
      </c>
      <c r="B191" s="37">
        <v>0</v>
      </c>
      <c r="C191" s="37">
        <v>125000</v>
      </c>
      <c r="D191" s="37"/>
      <c r="E191" s="63">
        <f t="shared" si="15"/>
        <v>-125000</v>
      </c>
      <c r="F191" s="38">
        <v>0</v>
      </c>
      <c r="G191" s="38"/>
      <c r="H191" s="37"/>
    </row>
    <row r="192" spans="1:9" s="45" customFormat="1" x14ac:dyDescent="0.3">
      <c r="A192" s="36" t="s">
        <v>226</v>
      </c>
      <c r="B192" s="37">
        <v>70</v>
      </c>
      <c r="C192" s="37">
        <v>70</v>
      </c>
      <c r="D192" s="37">
        <v>0</v>
      </c>
      <c r="E192" s="63">
        <f t="shared" si="15"/>
        <v>0</v>
      </c>
      <c r="F192" s="38">
        <v>100</v>
      </c>
      <c r="G192" s="44"/>
      <c r="H192" s="37"/>
    </row>
    <row r="193" spans="1:9" s="45" customFormat="1" x14ac:dyDescent="0.3">
      <c r="A193" s="36" t="s">
        <v>145</v>
      </c>
      <c r="B193" s="37">
        <v>1234.3499999999999</v>
      </c>
      <c r="C193" s="37">
        <f>2000</f>
        <v>2000</v>
      </c>
      <c r="D193" s="37">
        <f>2000</f>
        <v>2000</v>
      </c>
      <c r="E193" s="63">
        <f t="shared" si="15"/>
        <v>-765.65000000000009</v>
      </c>
      <c r="F193" s="38">
        <f>2000</f>
        <v>2000</v>
      </c>
      <c r="G193" s="44"/>
      <c r="H193" s="37">
        <v>0</v>
      </c>
    </row>
    <row r="194" spans="1:9" x14ac:dyDescent="0.3">
      <c r="A194" s="36" t="s">
        <v>131</v>
      </c>
      <c r="B194" s="37">
        <v>0</v>
      </c>
      <c r="C194" s="37"/>
      <c r="D194" s="37"/>
      <c r="E194" s="63">
        <f t="shared" si="15"/>
        <v>0</v>
      </c>
      <c r="F194" s="38">
        <v>0</v>
      </c>
      <c r="G194" s="38"/>
      <c r="H194" s="37">
        <v>911.6</v>
      </c>
    </row>
    <row r="195" spans="1:9" x14ac:dyDescent="0.3">
      <c r="A195" s="36" t="s">
        <v>121</v>
      </c>
      <c r="B195" s="37">
        <v>0</v>
      </c>
      <c r="C195" s="37"/>
      <c r="D195" s="37"/>
      <c r="E195" s="63">
        <f t="shared" si="15"/>
        <v>0</v>
      </c>
      <c r="F195" s="38">
        <v>0</v>
      </c>
      <c r="G195" s="38"/>
      <c r="H195" s="37">
        <v>679.22</v>
      </c>
    </row>
    <row r="196" spans="1:9" s="45" customFormat="1" x14ac:dyDescent="0.3">
      <c r="A196" s="36" t="s">
        <v>132</v>
      </c>
      <c r="B196" s="37">
        <v>0</v>
      </c>
      <c r="C196" s="37">
        <f>200</f>
        <v>200</v>
      </c>
      <c r="D196" s="37">
        <f>200</f>
        <v>200</v>
      </c>
      <c r="E196" s="63">
        <f t="shared" si="15"/>
        <v>-200</v>
      </c>
      <c r="F196" s="38">
        <v>0</v>
      </c>
      <c r="G196" s="44"/>
      <c r="H196" s="37">
        <f>4275+100</f>
        <v>4375</v>
      </c>
    </row>
    <row r="197" spans="1:9" s="45" customFormat="1" x14ac:dyDescent="0.3">
      <c r="A197" s="36" t="s">
        <v>127</v>
      </c>
      <c r="B197" s="37">
        <f>231+646.35</f>
        <v>877.35</v>
      </c>
      <c r="C197" s="37">
        <v>877</v>
      </c>
      <c r="D197" s="37">
        <f>800</f>
        <v>800</v>
      </c>
      <c r="E197" s="63">
        <f t="shared" si="15"/>
        <v>0.35000000000002274</v>
      </c>
      <c r="F197" s="38">
        <v>900</v>
      </c>
      <c r="G197" s="44"/>
      <c r="H197" s="37">
        <v>774.28</v>
      </c>
    </row>
    <row r="198" spans="1:9" s="45" customFormat="1" x14ac:dyDescent="0.3">
      <c r="A198" s="41" t="s">
        <v>87</v>
      </c>
      <c r="B198" s="37">
        <f>10629+2362</f>
        <v>12991</v>
      </c>
      <c r="C198" s="37">
        <f>13000</f>
        <v>13000</v>
      </c>
      <c r="D198" s="37">
        <f>13000</f>
        <v>13000</v>
      </c>
      <c r="E198" s="63">
        <f t="shared" si="15"/>
        <v>-9</v>
      </c>
      <c r="F198" s="38">
        <f>13000</f>
        <v>13000</v>
      </c>
      <c r="G198" s="44"/>
      <c r="H198" s="37">
        <v>12991</v>
      </c>
      <c r="I198" s="59"/>
    </row>
    <row r="199" spans="1:9" s="45" customFormat="1" x14ac:dyDescent="0.3">
      <c r="A199" s="36" t="s">
        <v>160</v>
      </c>
      <c r="B199" s="37">
        <v>0</v>
      </c>
      <c r="C199" s="37">
        <v>0</v>
      </c>
      <c r="D199" s="37"/>
      <c r="E199" s="63">
        <f t="shared" si="15"/>
        <v>0</v>
      </c>
      <c r="F199" s="38">
        <v>0</v>
      </c>
      <c r="G199" s="44"/>
      <c r="H199" s="37">
        <v>685</v>
      </c>
    </row>
    <row r="200" spans="1:9" x14ac:dyDescent="0.3">
      <c r="A200" s="36" t="s">
        <v>88</v>
      </c>
      <c r="B200" s="37">
        <v>2768</v>
      </c>
      <c r="C200" s="37">
        <v>2768</v>
      </c>
      <c r="D200" s="37">
        <v>2500</v>
      </c>
      <c r="E200" s="63">
        <f t="shared" si="15"/>
        <v>0</v>
      </c>
      <c r="F200" s="38">
        <v>3000</v>
      </c>
      <c r="G200" s="38"/>
      <c r="H200" s="37"/>
    </row>
    <row r="201" spans="1:9" x14ac:dyDescent="0.3">
      <c r="A201" s="36" t="s">
        <v>122</v>
      </c>
      <c r="B201" s="37">
        <v>0</v>
      </c>
      <c r="C201" s="37">
        <v>500</v>
      </c>
      <c r="D201" s="37">
        <v>500</v>
      </c>
      <c r="E201" s="63">
        <f t="shared" si="15"/>
        <v>-500</v>
      </c>
      <c r="F201" s="38">
        <v>500</v>
      </c>
      <c r="G201" s="38"/>
      <c r="H201" s="37">
        <v>291.62</v>
      </c>
    </row>
    <row r="202" spans="1:9" x14ac:dyDescent="0.3">
      <c r="A202" s="36" t="s">
        <v>224</v>
      </c>
      <c r="B202" s="37">
        <v>1000</v>
      </c>
      <c r="C202" s="37">
        <v>1000</v>
      </c>
      <c r="D202" s="37"/>
      <c r="E202" s="63">
        <f t="shared" si="15"/>
        <v>0</v>
      </c>
      <c r="F202" s="38">
        <v>1000</v>
      </c>
      <c r="G202" s="38"/>
      <c r="H202" s="37">
        <v>1000</v>
      </c>
    </row>
    <row r="203" spans="1:9" s="45" customFormat="1" x14ac:dyDescent="0.3">
      <c r="A203" s="36" t="s">
        <v>89</v>
      </c>
      <c r="B203" s="37">
        <v>7936.61</v>
      </c>
      <c r="C203" s="37">
        <f>8000</f>
        <v>8000</v>
      </c>
      <c r="D203" s="37">
        <f>8000</f>
        <v>8000</v>
      </c>
      <c r="E203" s="63">
        <f t="shared" si="15"/>
        <v>-63.390000000000327</v>
      </c>
      <c r="F203" s="38">
        <f>8000</f>
        <v>8000</v>
      </c>
      <c r="G203" s="44"/>
      <c r="H203" s="37">
        <v>7015.87</v>
      </c>
    </row>
    <row r="204" spans="1:9" x14ac:dyDescent="0.3">
      <c r="A204" s="36" t="s">
        <v>90</v>
      </c>
      <c r="B204" s="37">
        <v>4609.95</v>
      </c>
      <c r="C204" s="37">
        <v>5000</v>
      </c>
      <c r="D204" s="37">
        <v>5000</v>
      </c>
      <c r="E204" s="63">
        <f t="shared" si="15"/>
        <v>-390.05000000000018</v>
      </c>
      <c r="F204" s="38">
        <v>5000</v>
      </c>
      <c r="G204" s="38"/>
      <c r="H204" s="37">
        <v>4500</v>
      </c>
    </row>
    <row r="205" spans="1:9" hidden="1" x14ac:dyDescent="0.3">
      <c r="A205" s="36" t="s">
        <v>91</v>
      </c>
      <c r="B205" s="37">
        <v>0</v>
      </c>
      <c r="C205" s="37">
        <v>0</v>
      </c>
      <c r="D205" s="37">
        <v>0</v>
      </c>
      <c r="E205" s="63">
        <f t="shared" si="15"/>
        <v>0</v>
      </c>
      <c r="F205" s="38">
        <v>0</v>
      </c>
      <c r="G205" s="38"/>
      <c r="H205" s="37"/>
    </row>
    <row r="206" spans="1:9" s="45" customFormat="1" x14ac:dyDescent="0.3">
      <c r="A206" s="36" t="s">
        <v>92</v>
      </c>
      <c r="B206" s="37">
        <v>2138.9299999999998</v>
      </c>
      <c r="C206" s="37">
        <f>1500+650</f>
        <v>2150</v>
      </c>
      <c r="D206" s="37">
        <f>1500</f>
        <v>1500</v>
      </c>
      <c r="E206" s="63">
        <f t="shared" si="15"/>
        <v>-11.070000000000164</v>
      </c>
      <c r="F206" s="38">
        <v>2250</v>
      </c>
      <c r="G206" s="44"/>
      <c r="H206" s="37">
        <f>2380</f>
        <v>2380</v>
      </c>
    </row>
    <row r="207" spans="1:9" hidden="1" x14ac:dyDescent="0.3">
      <c r="A207" s="36" t="s">
        <v>93</v>
      </c>
      <c r="B207" s="37">
        <v>0</v>
      </c>
      <c r="C207" s="37"/>
      <c r="D207" s="37"/>
      <c r="E207" s="63">
        <f t="shared" si="15"/>
        <v>0</v>
      </c>
      <c r="F207" s="38"/>
      <c r="G207" s="38"/>
      <c r="H207" s="37"/>
    </row>
    <row r="208" spans="1:9" hidden="1" x14ac:dyDescent="0.3">
      <c r="A208" s="36" t="s">
        <v>94</v>
      </c>
      <c r="B208" s="37">
        <v>0</v>
      </c>
      <c r="C208" s="37">
        <v>0</v>
      </c>
      <c r="D208" s="37">
        <v>0</v>
      </c>
      <c r="E208" s="63">
        <f t="shared" si="15"/>
        <v>0</v>
      </c>
      <c r="F208" s="38">
        <v>0</v>
      </c>
      <c r="G208" s="38"/>
      <c r="H208" s="37"/>
    </row>
    <row r="209" spans="1:9" x14ac:dyDescent="0.3">
      <c r="A209" s="36" t="s">
        <v>205</v>
      </c>
      <c r="B209" s="37">
        <v>15086.74</v>
      </c>
      <c r="C209" s="37">
        <f>6166+10033.5</f>
        <v>16199.5</v>
      </c>
      <c r="D209" s="37">
        <v>0</v>
      </c>
      <c r="E209" s="63">
        <f t="shared" si="15"/>
        <v>-1112.7600000000002</v>
      </c>
      <c r="F209" s="38"/>
      <c r="G209" s="38"/>
      <c r="H209" s="37"/>
    </row>
    <row r="210" spans="1:9" hidden="1" x14ac:dyDescent="0.3">
      <c r="A210" s="36" t="s">
        <v>96</v>
      </c>
      <c r="B210" s="37">
        <v>0</v>
      </c>
      <c r="C210" s="37"/>
      <c r="D210" s="37"/>
      <c r="E210" s="63">
        <f t="shared" si="15"/>
        <v>0</v>
      </c>
      <c r="F210" s="38"/>
      <c r="G210" s="38"/>
      <c r="H210" s="37"/>
    </row>
    <row r="211" spans="1:9" s="45" customFormat="1" x14ac:dyDescent="0.3">
      <c r="A211" s="41" t="s">
        <v>97</v>
      </c>
      <c r="B211" s="43">
        <f>17460+1800</f>
        <v>19260</v>
      </c>
      <c r="C211" s="43">
        <f>20088+1000+4000</f>
        <v>25088</v>
      </c>
      <c r="D211" s="43">
        <f>20088</f>
        <v>20088</v>
      </c>
      <c r="E211" s="63">
        <f t="shared" si="15"/>
        <v>-5828</v>
      </c>
      <c r="F211" s="38">
        <v>22000</v>
      </c>
      <c r="G211" s="48"/>
      <c r="H211" s="37">
        <v>21180</v>
      </c>
      <c r="I211" s="59" t="s">
        <v>285</v>
      </c>
    </row>
    <row r="212" spans="1:9" ht="14.5" x14ac:dyDescent="0.35">
      <c r="A212" s="70" t="s">
        <v>98</v>
      </c>
      <c r="B212" s="76">
        <f t="shared" ref="B212:F212" si="16">SUBTOTAL(9,B136:B211)</f>
        <v>275787.19999999995</v>
      </c>
      <c r="C212" s="76">
        <f t="shared" si="16"/>
        <v>466614.5</v>
      </c>
      <c r="D212" s="76">
        <f t="shared" si="16"/>
        <v>696107</v>
      </c>
      <c r="E212" s="77">
        <f t="shared" si="16"/>
        <v>-190827.30000000002</v>
      </c>
      <c r="F212" s="42">
        <f t="shared" si="16"/>
        <v>351940</v>
      </c>
      <c r="G212" s="68"/>
      <c r="H212" s="76">
        <f>SUBTOTAL(9,H136:H211)</f>
        <v>103913.95999999999</v>
      </c>
      <c r="I212" s="53"/>
    </row>
    <row r="213" spans="1:9" x14ac:dyDescent="0.3">
      <c r="A213" s="41" t="s">
        <v>147</v>
      </c>
      <c r="B213" s="79">
        <f t="shared" ref="B213:F213" si="17">SUBTOTAL(9,B72:B212)</f>
        <v>319975.31999999995</v>
      </c>
      <c r="C213" s="79">
        <f t="shared" si="17"/>
        <v>545705</v>
      </c>
      <c r="D213" s="79">
        <f t="shared" si="17"/>
        <v>715607</v>
      </c>
      <c r="E213" s="75">
        <f t="shared" si="17"/>
        <v>-225729.68000000002</v>
      </c>
      <c r="F213" s="40">
        <f t="shared" si="17"/>
        <v>399940</v>
      </c>
      <c r="G213" s="39"/>
      <c r="H213" s="79">
        <f>SUBTOTAL(9,H72:H212)</f>
        <v>117118.76999999999</v>
      </c>
      <c r="I213" s="53"/>
    </row>
    <row r="214" spans="1:9" ht="14.5" x14ac:dyDescent="0.35">
      <c r="A214" s="70" t="s">
        <v>99</v>
      </c>
      <c r="B214" s="76">
        <f>(B67)-(B213)</f>
        <v>112020.64000000001</v>
      </c>
      <c r="C214" s="76">
        <f>(C68)-(C213)</f>
        <v>-161330</v>
      </c>
      <c r="D214" s="76">
        <f>(D68)-(D213)</f>
        <v>-395607</v>
      </c>
      <c r="E214" s="77">
        <f>(B214)-(C214)</f>
        <v>273350.64</v>
      </c>
      <c r="F214" s="42">
        <f>(F68)-(F213)</f>
        <v>-72440</v>
      </c>
      <c r="G214" s="68"/>
      <c r="H214" s="76">
        <f>(H68)-(H213)</f>
        <v>231550.39000000004</v>
      </c>
    </row>
    <row r="215" spans="1:9" ht="14.5" x14ac:dyDescent="0.35">
      <c r="A215" s="87" t="s">
        <v>276</v>
      </c>
      <c r="B215" s="88">
        <f>485.65</f>
        <v>485.65</v>
      </c>
      <c r="C215" s="88">
        <v>0</v>
      </c>
      <c r="D215" s="88"/>
      <c r="E215" s="63">
        <f>(B215)-(C215)</f>
        <v>485.65</v>
      </c>
      <c r="F215" s="39"/>
      <c r="G215" s="39"/>
      <c r="H215" s="88"/>
    </row>
    <row r="216" spans="1:9" ht="14.5" x14ac:dyDescent="0.35">
      <c r="A216" s="87" t="s">
        <v>275</v>
      </c>
      <c r="B216" s="89">
        <v>267.16000000000003</v>
      </c>
      <c r="C216" s="89">
        <v>0</v>
      </c>
      <c r="D216" s="89"/>
      <c r="E216" s="90">
        <f>(B216)-(C216)</f>
        <v>267.16000000000003</v>
      </c>
      <c r="F216" s="49"/>
      <c r="G216" s="39"/>
      <c r="H216" s="89">
        <v>184</v>
      </c>
    </row>
    <row r="217" spans="1:9" ht="14.5" x14ac:dyDescent="0.35">
      <c r="A217" s="70" t="s">
        <v>199</v>
      </c>
      <c r="B217" s="86">
        <f>SUM(B214:B216)</f>
        <v>112773.45000000001</v>
      </c>
      <c r="C217" s="86">
        <f>SUM(C214:C216)</f>
        <v>-161330</v>
      </c>
      <c r="D217" s="86">
        <f>(D71)-(D216)</f>
        <v>0</v>
      </c>
      <c r="E217" s="86">
        <f>(B217)-(C217)</f>
        <v>274103.45</v>
      </c>
      <c r="F217" s="68">
        <f>SUM(F214:F216)</f>
        <v>-72440</v>
      </c>
      <c r="G217" s="68"/>
      <c r="H217" s="86">
        <f>SUM(H214:H216)</f>
        <v>231734.39000000004</v>
      </c>
    </row>
    <row r="218" spans="1:9" ht="14.5" x14ac:dyDescent="0.35">
      <c r="A218" s="69" t="s">
        <v>148</v>
      </c>
      <c r="B218" s="80">
        <v>452215</v>
      </c>
      <c r="C218" s="81"/>
      <c r="D218" s="81"/>
      <c r="E218" s="81"/>
      <c r="F218" s="49">
        <f>B223</f>
        <v>427830.31999999995</v>
      </c>
      <c r="G218" s="39"/>
    </row>
    <row r="219" spans="1:9" ht="14.5" x14ac:dyDescent="0.35">
      <c r="A219" s="69" t="s">
        <v>278</v>
      </c>
      <c r="B219" s="78">
        <f>B217+B218</f>
        <v>564988.44999999995</v>
      </c>
      <c r="C219" s="81"/>
      <c r="D219" s="81"/>
      <c r="E219" s="81"/>
      <c r="F219" s="39">
        <f>F214+F218</f>
        <v>355390.31999999995</v>
      </c>
      <c r="G219" s="39"/>
    </row>
    <row r="220" spans="1:9" ht="14.5" x14ac:dyDescent="0.35">
      <c r="A220" s="69" t="s">
        <v>284</v>
      </c>
      <c r="B220" s="78">
        <v>-8558.1299999999992</v>
      </c>
      <c r="C220" s="81"/>
      <c r="D220" s="81"/>
      <c r="E220" s="81"/>
      <c r="F220" s="39"/>
      <c r="G220" s="39"/>
    </row>
    <row r="221" spans="1:9" ht="14.5" x14ac:dyDescent="0.35">
      <c r="A221" s="69" t="s">
        <v>286</v>
      </c>
      <c r="B221" s="78">
        <v>-3600</v>
      </c>
      <c r="C221" s="81"/>
      <c r="D221" s="81"/>
      <c r="E221" s="81"/>
      <c r="F221" s="39"/>
      <c r="G221" s="39"/>
    </row>
    <row r="222" spans="1:9" ht="14.5" x14ac:dyDescent="0.35">
      <c r="A222" s="69" t="s">
        <v>261</v>
      </c>
      <c r="B222" s="82">
        <f>E191</f>
        <v>-125000</v>
      </c>
      <c r="C222" s="71"/>
      <c r="D222" s="71"/>
      <c r="E222" s="71"/>
      <c r="F222" s="91"/>
      <c r="G222" s="51"/>
    </row>
    <row r="223" spans="1:9" ht="14.5" x14ac:dyDescent="0.35">
      <c r="A223" s="70" t="s">
        <v>260</v>
      </c>
      <c r="B223" s="83">
        <f>SUM(B219:B222)</f>
        <v>427830.31999999995</v>
      </c>
      <c r="C223" s="71"/>
      <c r="D223" s="71"/>
      <c r="E223" s="71"/>
      <c r="F223" s="92"/>
      <c r="G223" s="51"/>
    </row>
    <row r="224" spans="1:9" x14ac:dyDescent="0.3">
      <c r="A224" s="36"/>
      <c r="B224" s="60"/>
      <c r="C224" s="50"/>
      <c r="D224" s="50"/>
      <c r="E224" s="50"/>
      <c r="F224" s="51"/>
      <c r="G224" s="51"/>
      <c r="H224" s="50"/>
    </row>
    <row r="225" spans="1:8" hidden="1" x14ac:dyDescent="0.3">
      <c r="A225" s="36" t="s">
        <v>253</v>
      </c>
      <c r="B225" s="50"/>
      <c r="C225" s="50"/>
      <c r="D225" s="50"/>
      <c r="E225" s="50"/>
      <c r="F225" s="51"/>
      <c r="G225" s="51"/>
      <c r="H225" s="50"/>
    </row>
    <row r="226" spans="1:8" hidden="1" x14ac:dyDescent="0.3">
      <c r="A226" s="29" t="s">
        <v>167</v>
      </c>
      <c r="B226" s="30" t="s">
        <v>212</v>
      </c>
    </row>
    <row r="227" spans="1:8" hidden="1" x14ac:dyDescent="0.3">
      <c r="A227" s="52"/>
      <c r="B227" s="30" t="s">
        <v>213</v>
      </c>
      <c r="H227" s="53"/>
    </row>
    <row r="228" spans="1:8" hidden="1" x14ac:dyDescent="0.3">
      <c r="A228" s="30" t="s">
        <v>203</v>
      </c>
      <c r="B228" s="54">
        <f>34925</f>
        <v>34925</v>
      </c>
      <c r="H228" s="53"/>
    </row>
    <row r="229" spans="1:8" hidden="1" x14ac:dyDescent="0.3">
      <c r="A229" s="62" t="s">
        <v>249</v>
      </c>
      <c r="B229" s="54">
        <f>10220+4290</f>
        <v>14510</v>
      </c>
      <c r="H229" s="53"/>
    </row>
    <row r="230" spans="1:8" hidden="1" x14ac:dyDescent="0.3">
      <c r="A230" s="30" t="s">
        <v>204</v>
      </c>
      <c r="B230" s="54">
        <f>-1000-26360-7290</f>
        <v>-34650</v>
      </c>
    </row>
    <row r="231" spans="1:8" hidden="1" x14ac:dyDescent="0.3">
      <c r="A231" s="62" t="s">
        <v>248</v>
      </c>
      <c r="B231" s="66">
        <f>-9855.2-374.4-454.5</f>
        <v>-10684.1</v>
      </c>
      <c r="D231" s="65"/>
      <c r="H231" s="53"/>
    </row>
    <row r="232" spans="1:8" hidden="1" x14ac:dyDescent="0.3">
      <c r="A232" s="62" t="s">
        <v>254</v>
      </c>
      <c r="B232" s="66">
        <v>-450</v>
      </c>
      <c r="D232" s="65"/>
      <c r="H232" s="53"/>
    </row>
    <row r="233" spans="1:8" ht="13.5" hidden="1" thickBot="1" x14ac:dyDescent="0.35">
      <c r="A233" s="62" t="s">
        <v>258</v>
      </c>
      <c r="B233" s="58">
        <f>SUM(B228:B232)</f>
        <v>3650.8999999999996</v>
      </c>
      <c r="D233" s="65"/>
      <c r="H233" s="53"/>
    </row>
    <row r="234" spans="1:8" hidden="1" x14ac:dyDescent="0.3">
      <c r="A234" s="62"/>
      <c r="B234" s="67"/>
      <c r="D234" s="65"/>
      <c r="H234" s="53"/>
    </row>
    <row r="235" spans="1:8" hidden="1" x14ac:dyDescent="0.3">
      <c r="A235" s="36" t="s">
        <v>255</v>
      </c>
      <c r="B235" s="50"/>
      <c r="C235" s="50"/>
      <c r="D235" s="50"/>
      <c r="E235" s="50"/>
      <c r="F235" s="51"/>
      <c r="G235" s="51"/>
      <c r="H235" s="50"/>
    </row>
    <row r="236" spans="1:8" hidden="1" x14ac:dyDescent="0.3">
      <c r="A236" s="29" t="s">
        <v>167</v>
      </c>
      <c r="B236" s="30" t="s">
        <v>212</v>
      </c>
    </row>
    <row r="237" spans="1:8" hidden="1" x14ac:dyDescent="0.3">
      <c r="A237" s="52"/>
      <c r="B237" s="30" t="s">
        <v>213</v>
      </c>
      <c r="H237" s="53"/>
    </row>
    <row r="238" spans="1:8" hidden="1" x14ac:dyDescent="0.3">
      <c r="A238" s="30" t="s">
        <v>256</v>
      </c>
      <c r="B238" s="54">
        <v>3919.21</v>
      </c>
      <c r="H238" s="53"/>
    </row>
    <row r="239" spans="1:8" hidden="1" x14ac:dyDescent="0.3">
      <c r="A239" s="30" t="s">
        <v>257</v>
      </c>
      <c r="B239" s="54">
        <v>-3919.21</v>
      </c>
      <c r="H239" s="53"/>
    </row>
    <row r="240" spans="1:8" ht="13.5" hidden="1" thickBot="1" x14ac:dyDescent="0.35">
      <c r="A240" s="62" t="s">
        <v>258</v>
      </c>
      <c r="B240" s="58">
        <f>SUM(B235:B239)</f>
        <v>0</v>
      </c>
    </row>
    <row r="241" spans="1:5" hidden="1" x14ac:dyDescent="0.3"/>
    <row r="242" spans="1:5" hidden="1" x14ac:dyDescent="0.3"/>
    <row r="243" spans="1:5" hidden="1" x14ac:dyDescent="0.3">
      <c r="A243" s="57" t="s">
        <v>206</v>
      </c>
    </row>
    <row r="244" spans="1:5" hidden="1" x14ac:dyDescent="0.3">
      <c r="A244" s="30" t="s">
        <v>222</v>
      </c>
      <c r="B244" s="54">
        <v>1050</v>
      </c>
    </row>
    <row r="245" spans="1:5" hidden="1" x14ac:dyDescent="0.3">
      <c r="A245" s="30" t="s">
        <v>207</v>
      </c>
      <c r="B245" s="54">
        <v>1050</v>
      </c>
    </row>
    <row r="246" spans="1:5" hidden="1" x14ac:dyDescent="0.3">
      <c r="A246" s="30" t="s">
        <v>208</v>
      </c>
      <c r="B246" s="54">
        <v>700</v>
      </c>
    </row>
    <row r="247" spans="1:5" hidden="1" x14ac:dyDescent="0.3">
      <c r="A247" s="30" t="s">
        <v>209</v>
      </c>
      <c r="B247" s="54">
        <v>700</v>
      </c>
    </row>
    <row r="248" spans="1:5" hidden="1" x14ac:dyDescent="0.3">
      <c r="A248" s="30" t="s">
        <v>223</v>
      </c>
      <c r="B248" s="54">
        <f>700+350</f>
        <v>1050</v>
      </c>
    </row>
    <row r="249" spans="1:5" hidden="1" x14ac:dyDescent="0.3">
      <c r="A249" s="30" t="s">
        <v>210</v>
      </c>
      <c r="B249" s="54">
        <v>1050</v>
      </c>
    </row>
    <row r="250" spans="1:5" hidden="1" x14ac:dyDescent="0.3">
      <c r="A250" s="30" t="s">
        <v>211</v>
      </c>
      <c r="B250" s="54">
        <v>700</v>
      </c>
    </row>
    <row r="251" spans="1:5" ht="13.5" hidden="1" thickBot="1" x14ac:dyDescent="0.35">
      <c r="B251" s="55">
        <f>SUM(B244:B250)</f>
        <v>6300</v>
      </c>
      <c r="C251" s="56"/>
      <c r="D251" s="56"/>
    </row>
    <row r="256" spans="1:5" x14ac:dyDescent="0.3">
      <c r="E256" s="53"/>
    </row>
  </sheetData>
  <mergeCells count="4">
    <mergeCell ref="B5:F5"/>
    <mergeCell ref="A1:H1"/>
    <mergeCell ref="A3:H3"/>
    <mergeCell ref="A2:H2"/>
  </mergeCells>
  <printOptions horizontalCentered="1"/>
  <pageMargins left="0.25" right="0.25" top="0.5" bottom="0.5" header="0.3" footer="0.3"/>
  <pageSetup scale="78" fitToHeight="0" orientation="portrait" r:id="rId1"/>
  <headerFooter>
    <oddFooter>&amp;RPage &amp;P of &amp;N</oddFooter>
  </headerFooter>
  <rowBreaks count="1" manualBreakCount="1">
    <brk id="1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zoomScaleNormal="100" zoomScaleSheetLayoutView="115" workbookViewId="0">
      <selection activeCell="A145" sqref="A145"/>
    </sheetView>
  </sheetViews>
  <sheetFormatPr defaultColWidth="8.7265625" defaultRowHeight="14.5" x14ac:dyDescent="0.35"/>
  <cols>
    <col min="1" max="1" width="41.26953125" style="1" customWidth="1"/>
    <col min="2" max="2" width="10.7265625" style="1" customWidth="1"/>
    <col min="3" max="3" width="11.54296875" style="1" customWidth="1"/>
    <col min="4" max="4" width="2.26953125" style="11" bestFit="1" customWidth="1"/>
    <col min="5" max="5" width="10.7265625" style="1" customWidth="1"/>
    <col min="6" max="8" width="8.7265625" style="1" customWidth="1"/>
    <col min="9" max="9" width="2.26953125" style="11" bestFit="1" customWidth="1"/>
    <col min="10" max="16384" width="8.7265625" style="1"/>
  </cols>
  <sheetData>
    <row r="1" spans="1:9" ht="18" x14ac:dyDescent="0.4">
      <c r="A1" s="98" t="s">
        <v>100</v>
      </c>
      <c r="B1" s="98"/>
      <c r="C1" s="98"/>
      <c r="D1" s="98"/>
      <c r="E1" s="98"/>
      <c r="F1" s="98"/>
      <c r="G1" s="98"/>
      <c r="H1" s="98"/>
      <c r="I1" s="1"/>
    </row>
    <row r="2" spans="1:9" ht="18" x14ac:dyDescent="0.4">
      <c r="A2" s="98" t="s">
        <v>169</v>
      </c>
      <c r="B2" s="98"/>
      <c r="C2" s="98"/>
      <c r="D2" s="98"/>
      <c r="E2" s="98"/>
      <c r="F2" s="98"/>
      <c r="G2" s="98"/>
      <c r="H2" s="98"/>
      <c r="I2" s="1"/>
    </row>
    <row r="3" spans="1:9" x14ac:dyDescent="0.35">
      <c r="A3" s="99" t="s">
        <v>170</v>
      </c>
      <c r="B3" s="99"/>
      <c r="C3" s="99"/>
      <c r="D3" s="99"/>
      <c r="E3" s="99"/>
      <c r="F3" s="99"/>
      <c r="G3" s="99"/>
      <c r="H3" s="99"/>
      <c r="I3" s="1"/>
    </row>
    <row r="5" spans="1:9" x14ac:dyDescent="0.35">
      <c r="A5" s="2"/>
      <c r="B5" s="97" t="s">
        <v>171</v>
      </c>
      <c r="C5" s="97"/>
      <c r="D5" s="97"/>
      <c r="E5" s="97"/>
      <c r="F5" s="97"/>
      <c r="G5" s="97"/>
      <c r="H5" s="97"/>
      <c r="I5" s="22"/>
    </row>
    <row r="6" spans="1:9" s="20" customFormat="1" ht="10.5" x14ac:dyDescent="0.25">
      <c r="A6" s="19"/>
      <c r="B6" s="25" t="s">
        <v>154</v>
      </c>
      <c r="C6" s="25" t="s">
        <v>155</v>
      </c>
      <c r="D6" s="25"/>
      <c r="E6" s="25" t="s">
        <v>156</v>
      </c>
      <c r="F6" s="26" t="s">
        <v>157</v>
      </c>
      <c r="G6" s="27" t="s">
        <v>158</v>
      </c>
      <c r="H6" s="25" t="s">
        <v>159</v>
      </c>
      <c r="I6" s="21"/>
    </row>
    <row r="7" spans="1:9" ht="24" x14ac:dyDescent="0.35">
      <c r="A7" s="2"/>
      <c r="B7" s="3" t="s">
        <v>172</v>
      </c>
      <c r="C7" s="3" t="s">
        <v>102</v>
      </c>
      <c r="D7" s="3"/>
      <c r="E7" s="3" t="s">
        <v>153</v>
      </c>
      <c r="F7" s="17" t="s">
        <v>173</v>
      </c>
      <c r="G7" s="18" t="s">
        <v>174</v>
      </c>
      <c r="H7" s="3" t="s">
        <v>175</v>
      </c>
      <c r="I7" s="23"/>
    </row>
    <row r="8" spans="1:9" x14ac:dyDescent="0.35">
      <c r="A8" s="4" t="s">
        <v>176</v>
      </c>
      <c r="B8" s="6"/>
      <c r="C8" s="6"/>
      <c r="D8" s="8"/>
      <c r="E8" s="6"/>
      <c r="F8" s="13"/>
      <c r="G8" s="14"/>
      <c r="H8" s="6"/>
      <c r="I8" s="8"/>
    </row>
    <row r="9" spans="1:9" x14ac:dyDescent="0.35">
      <c r="A9" s="4" t="s">
        <v>0</v>
      </c>
      <c r="B9" s="6"/>
      <c r="C9" s="6"/>
      <c r="D9" s="8"/>
      <c r="E9" s="6">
        <f>B9+C9</f>
        <v>0</v>
      </c>
      <c r="F9" s="13"/>
      <c r="G9" s="14">
        <f>(E9)-(F9)</f>
        <v>0</v>
      </c>
      <c r="H9" s="6"/>
      <c r="I9" s="8"/>
    </row>
    <row r="10" spans="1:9" x14ac:dyDescent="0.35">
      <c r="A10" s="4" t="s">
        <v>1</v>
      </c>
      <c r="B10" s="6"/>
      <c r="C10" s="6"/>
      <c r="D10" s="8"/>
      <c r="E10" s="6">
        <f t="shared" ref="E10:E77" si="0">B10+C10</f>
        <v>0</v>
      </c>
      <c r="F10" s="13"/>
      <c r="G10" s="14">
        <f t="shared" ref="G10:G77" si="1">(E10)-(F10)</f>
        <v>0</v>
      </c>
      <c r="H10" s="6"/>
      <c r="I10" s="8"/>
    </row>
    <row r="11" spans="1:9" x14ac:dyDescent="0.35">
      <c r="A11" s="4" t="s">
        <v>2</v>
      </c>
      <c r="B11" s="6">
        <v>9894.42</v>
      </c>
      <c r="C11" s="6"/>
      <c r="D11" s="8"/>
      <c r="E11" s="6">
        <f t="shared" si="0"/>
        <v>9894.42</v>
      </c>
      <c r="F11" s="13">
        <v>5000</v>
      </c>
      <c r="G11" s="14">
        <f t="shared" si="1"/>
        <v>4894.42</v>
      </c>
      <c r="H11" s="6">
        <v>8000</v>
      </c>
      <c r="I11" s="8"/>
    </row>
    <row r="12" spans="1:9" hidden="1" x14ac:dyDescent="0.35">
      <c r="A12" s="4" t="s">
        <v>3</v>
      </c>
      <c r="B12" s="6"/>
      <c r="C12" s="6"/>
      <c r="D12" s="8"/>
      <c r="E12" s="6">
        <f t="shared" si="0"/>
        <v>0</v>
      </c>
      <c r="F12" s="13">
        <f>0</f>
        <v>0</v>
      </c>
      <c r="G12" s="14">
        <f t="shared" si="1"/>
        <v>0</v>
      </c>
      <c r="H12" s="6"/>
      <c r="I12" s="24"/>
    </row>
    <row r="13" spans="1:9" x14ac:dyDescent="0.35">
      <c r="A13" s="4" t="s">
        <v>4</v>
      </c>
      <c r="B13" s="7">
        <f>SUBTOTAL(9,B10:B12)</f>
        <v>9894.42</v>
      </c>
      <c r="C13" s="7">
        <f>SUBTOTAL(9,C10:C12)</f>
        <v>0</v>
      </c>
      <c r="D13" s="7"/>
      <c r="E13" s="7">
        <f t="shared" si="0"/>
        <v>9894.42</v>
      </c>
      <c r="F13" s="15">
        <f>SUBTOTAL(9,F10:F12)</f>
        <v>5000</v>
      </c>
      <c r="G13" s="16">
        <f t="shared" si="1"/>
        <v>4894.42</v>
      </c>
      <c r="H13" s="7">
        <f>SUBTOTAL(9,H10:H12)</f>
        <v>8000</v>
      </c>
      <c r="I13" s="24"/>
    </row>
    <row r="14" spans="1:9" x14ac:dyDescent="0.35">
      <c r="A14" s="4" t="s">
        <v>5</v>
      </c>
      <c r="B14" s="6"/>
      <c r="C14" s="6"/>
      <c r="D14" s="8"/>
      <c r="E14" s="6">
        <f t="shared" si="0"/>
        <v>0</v>
      </c>
      <c r="F14" s="13"/>
      <c r="G14" s="14">
        <f t="shared" si="1"/>
        <v>0</v>
      </c>
      <c r="H14" s="6"/>
      <c r="I14" s="8"/>
    </row>
    <row r="15" spans="1:9" hidden="1" x14ac:dyDescent="0.35">
      <c r="A15" s="4" t="s">
        <v>103</v>
      </c>
      <c r="B15" s="6"/>
      <c r="C15" s="6"/>
      <c r="D15" s="8"/>
      <c r="E15" s="6">
        <f t="shared" si="0"/>
        <v>0</v>
      </c>
      <c r="F15" s="13"/>
      <c r="G15" s="14">
        <f t="shared" si="1"/>
        <v>0</v>
      </c>
      <c r="H15" s="6">
        <v>3485.11</v>
      </c>
      <c r="I15" s="8"/>
    </row>
    <row r="16" spans="1:9" hidden="1" x14ac:dyDescent="0.35">
      <c r="A16" s="4" t="s">
        <v>6</v>
      </c>
      <c r="B16" s="6"/>
      <c r="C16" s="6"/>
      <c r="D16" s="8"/>
      <c r="E16" s="6">
        <f t="shared" si="0"/>
        <v>0</v>
      </c>
      <c r="F16" s="13"/>
      <c r="G16" s="14">
        <f t="shared" si="1"/>
        <v>0</v>
      </c>
      <c r="H16" s="6"/>
      <c r="I16" s="8"/>
    </row>
    <row r="17" spans="1:9" hidden="1" x14ac:dyDescent="0.35">
      <c r="A17" s="4" t="s">
        <v>7</v>
      </c>
      <c r="B17" s="6"/>
      <c r="C17" s="6"/>
      <c r="D17" s="8"/>
      <c r="E17" s="6">
        <f t="shared" si="0"/>
        <v>0</v>
      </c>
      <c r="F17" s="13"/>
      <c r="G17" s="14">
        <f t="shared" si="1"/>
        <v>0</v>
      </c>
      <c r="H17" s="6">
        <v>1050</v>
      </c>
      <c r="I17" s="8"/>
    </row>
    <row r="18" spans="1:9" hidden="1" x14ac:dyDescent="0.35">
      <c r="A18" s="4" t="s">
        <v>8</v>
      </c>
      <c r="B18" s="6"/>
      <c r="C18" s="6"/>
      <c r="D18" s="8"/>
      <c r="E18" s="6">
        <f t="shared" si="0"/>
        <v>0</v>
      </c>
      <c r="F18" s="13"/>
      <c r="G18" s="14">
        <f t="shared" si="1"/>
        <v>0</v>
      </c>
      <c r="H18" s="6">
        <v>6270</v>
      </c>
      <c r="I18" s="8"/>
    </row>
    <row r="19" spans="1:9" hidden="1" x14ac:dyDescent="0.35">
      <c r="A19" s="4" t="s">
        <v>9</v>
      </c>
      <c r="B19" s="6"/>
      <c r="C19" s="6"/>
      <c r="D19" s="8"/>
      <c r="E19" s="6">
        <f t="shared" si="0"/>
        <v>0</v>
      </c>
      <c r="F19" s="13"/>
      <c r="G19" s="14">
        <f t="shared" si="1"/>
        <v>0</v>
      </c>
      <c r="H19" s="6">
        <v>900</v>
      </c>
      <c r="I19" s="24"/>
    </row>
    <row r="20" spans="1:9" x14ac:dyDescent="0.35">
      <c r="A20" s="4" t="s">
        <v>10</v>
      </c>
      <c r="B20" s="7">
        <f>SUBTOTAL(9,B14:B19)</f>
        <v>0</v>
      </c>
      <c r="C20" s="7">
        <f>SUBTOTAL(9,C14:C19)</f>
        <v>0</v>
      </c>
      <c r="D20" s="7"/>
      <c r="E20" s="7">
        <f t="shared" si="0"/>
        <v>0</v>
      </c>
      <c r="F20" s="15">
        <f>SUBTOTAL(9,F14:F19)</f>
        <v>0</v>
      </c>
      <c r="G20" s="16">
        <f t="shared" si="1"/>
        <v>0</v>
      </c>
      <c r="H20" s="7">
        <f>SUBTOTAL(9,H14:H19)</f>
        <v>11705.11</v>
      </c>
      <c r="I20" s="24"/>
    </row>
    <row r="21" spans="1:9" x14ac:dyDescent="0.35">
      <c r="A21" s="4" t="s">
        <v>11</v>
      </c>
      <c r="B21" s="6"/>
      <c r="C21" s="6"/>
      <c r="D21" s="8"/>
      <c r="E21" s="6">
        <f t="shared" si="0"/>
        <v>0</v>
      </c>
      <c r="F21" s="13"/>
      <c r="G21" s="14">
        <f t="shared" si="1"/>
        <v>0</v>
      </c>
      <c r="H21" s="6"/>
      <c r="I21" s="8"/>
    </row>
    <row r="22" spans="1:9" x14ac:dyDescent="0.35">
      <c r="A22" s="4" t="s">
        <v>12</v>
      </c>
      <c r="B22" s="6">
        <v>18685</v>
      </c>
      <c r="C22" s="6"/>
      <c r="D22" s="8"/>
      <c r="E22" s="6">
        <f t="shared" si="0"/>
        <v>18685</v>
      </c>
      <c r="F22" s="13"/>
      <c r="G22" s="14">
        <f t="shared" si="1"/>
        <v>18685</v>
      </c>
      <c r="H22" s="6">
        <v>18289</v>
      </c>
      <c r="I22" s="8"/>
    </row>
    <row r="23" spans="1:9" x14ac:dyDescent="0.35">
      <c r="A23" s="4" t="s">
        <v>177</v>
      </c>
      <c r="B23" s="6">
        <v>78517.009999999995</v>
      </c>
      <c r="C23" s="6"/>
      <c r="D23" s="8"/>
      <c r="E23" s="6">
        <f t="shared" si="0"/>
        <v>78517.009999999995</v>
      </c>
      <c r="F23" s="13">
        <v>175000</v>
      </c>
      <c r="G23" s="14">
        <f t="shared" si="1"/>
        <v>-96482.99</v>
      </c>
      <c r="H23" s="6">
        <v>133025.35</v>
      </c>
      <c r="I23" s="8"/>
    </row>
    <row r="24" spans="1:9" x14ac:dyDescent="0.35">
      <c r="A24" s="4" t="s">
        <v>13</v>
      </c>
      <c r="B24" s="6">
        <v>178750</v>
      </c>
      <c r="C24" s="6"/>
      <c r="D24" s="8"/>
      <c r="E24" s="6">
        <f t="shared" si="0"/>
        <v>178750</v>
      </c>
      <c r="F24" s="13"/>
      <c r="G24" s="14">
        <f t="shared" si="1"/>
        <v>178750</v>
      </c>
      <c r="H24" s="6">
        <v>47080</v>
      </c>
      <c r="I24" s="8"/>
    </row>
    <row r="25" spans="1:9" x14ac:dyDescent="0.35">
      <c r="A25" s="4" t="s">
        <v>14</v>
      </c>
      <c r="B25" s="6">
        <v>0</v>
      </c>
      <c r="C25" s="6"/>
      <c r="D25" s="8"/>
      <c r="E25" s="6">
        <f t="shared" si="0"/>
        <v>0</v>
      </c>
      <c r="F25" s="13"/>
      <c r="G25" s="14">
        <f t="shared" si="1"/>
        <v>0</v>
      </c>
      <c r="H25" s="6">
        <v>32866.400000000001</v>
      </c>
      <c r="I25" s="24"/>
    </row>
    <row r="26" spans="1:9" x14ac:dyDescent="0.35">
      <c r="A26" s="4" t="s">
        <v>15</v>
      </c>
      <c r="B26" s="7">
        <f>SUBTOTAL(9,B23:B25)</f>
        <v>257267.01</v>
      </c>
      <c r="C26" s="7">
        <f>SUBTOTAL(9,C23:C25)</f>
        <v>0</v>
      </c>
      <c r="D26" s="7"/>
      <c r="E26" s="7">
        <f t="shared" si="0"/>
        <v>257267.01</v>
      </c>
      <c r="F26" s="15">
        <f>SUBTOTAL(9,F23:F25)</f>
        <v>175000</v>
      </c>
      <c r="G26" s="16">
        <f t="shared" si="1"/>
        <v>82267.010000000009</v>
      </c>
      <c r="H26" s="7">
        <f>SUBTOTAL(9,H23:H25)</f>
        <v>212971.75</v>
      </c>
      <c r="I26" s="24"/>
    </row>
    <row r="27" spans="1:9" x14ac:dyDescent="0.35">
      <c r="A27" s="4" t="s">
        <v>123</v>
      </c>
      <c r="B27" s="6">
        <v>165</v>
      </c>
      <c r="C27" s="6"/>
      <c r="D27" s="8"/>
      <c r="E27" s="6">
        <f t="shared" si="0"/>
        <v>165</v>
      </c>
      <c r="F27" s="13"/>
      <c r="G27" s="14">
        <f t="shared" si="1"/>
        <v>165</v>
      </c>
      <c r="H27" s="6"/>
      <c r="I27" s="8"/>
    </row>
    <row r="28" spans="1:9" x14ac:dyDescent="0.35">
      <c r="A28" s="4" t="s">
        <v>124</v>
      </c>
      <c r="B28" s="6">
        <v>500</v>
      </c>
      <c r="C28" s="6"/>
      <c r="D28" s="8"/>
      <c r="E28" s="6">
        <f t="shared" si="0"/>
        <v>500</v>
      </c>
      <c r="F28" s="13"/>
      <c r="G28" s="14">
        <f t="shared" si="1"/>
        <v>500</v>
      </c>
      <c r="H28" s="6">
        <v>2500</v>
      </c>
      <c r="I28" s="24"/>
    </row>
    <row r="29" spans="1:9" x14ac:dyDescent="0.35">
      <c r="A29" s="4" t="s">
        <v>16</v>
      </c>
      <c r="B29" s="7">
        <f>B21+B22+B26+B27+B28</f>
        <v>276617.01</v>
      </c>
      <c r="C29" s="7">
        <f>C21+C22+C26+C27+C28</f>
        <v>0</v>
      </c>
      <c r="D29" s="7"/>
      <c r="E29" s="7">
        <f t="shared" si="0"/>
        <v>276617.01</v>
      </c>
      <c r="F29" s="15">
        <f>F21+F22+F26+F27+F28</f>
        <v>175000</v>
      </c>
      <c r="G29" s="16">
        <f t="shared" si="1"/>
        <v>101617.01000000001</v>
      </c>
      <c r="H29" s="7">
        <f>H21+H22+H26+H27+H28</f>
        <v>233760.75</v>
      </c>
      <c r="I29" s="24"/>
    </row>
    <row r="30" spans="1:9" x14ac:dyDescent="0.35">
      <c r="A30" s="4" t="s">
        <v>17</v>
      </c>
      <c r="B30" s="6"/>
      <c r="C30" s="6"/>
      <c r="D30" s="8"/>
      <c r="E30" s="6">
        <f t="shared" si="0"/>
        <v>0</v>
      </c>
      <c r="F30" s="13">
        <f>50000</f>
        <v>50000</v>
      </c>
      <c r="G30" s="14">
        <f t="shared" si="1"/>
        <v>-50000</v>
      </c>
      <c r="H30" s="6"/>
      <c r="I30" s="8"/>
    </row>
    <row r="31" spans="1:9" hidden="1" x14ac:dyDescent="0.35">
      <c r="A31" s="4" t="s">
        <v>18</v>
      </c>
      <c r="B31" s="6"/>
      <c r="C31" s="6"/>
      <c r="D31" s="8"/>
      <c r="E31" s="6">
        <f t="shared" si="0"/>
        <v>0</v>
      </c>
      <c r="F31" s="13"/>
      <c r="G31" s="14">
        <f t="shared" si="1"/>
        <v>0</v>
      </c>
      <c r="H31" s="6">
        <v>77475</v>
      </c>
      <c r="I31" s="8"/>
    </row>
    <row r="32" spans="1:9" hidden="1" x14ac:dyDescent="0.35">
      <c r="A32" s="4" t="s">
        <v>19</v>
      </c>
      <c r="B32" s="6"/>
      <c r="C32" s="6"/>
      <c r="D32" s="8"/>
      <c r="E32" s="6">
        <f t="shared" si="0"/>
        <v>0</v>
      </c>
      <c r="F32" s="13"/>
      <c r="G32" s="14">
        <f t="shared" si="1"/>
        <v>0</v>
      </c>
      <c r="H32" s="6">
        <v>4785</v>
      </c>
      <c r="I32" s="8"/>
    </row>
    <row r="33" spans="1:9" hidden="1" x14ac:dyDescent="0.35">
      <c r="A33" s="4" t="s">
        <v>20</v>
      </c>
      <c r="B33" s="6"/>
      <c r="C33" s="6"/>
      <c r="D33" s="8"/>
      <c r="E33" s="6">
        <f t="shared" si="0"/>
        <v>0</v>
      </c>
      <c r="F33" s="13"/>
      <c r="G33" s="14">
        <f t="shared" si="1"/>
        <v>0</v>
      </c>
      <c r="H33" s="6"/>
      <c r="I33" s="8"/>
    </row>
    <row r="34" spans="1:9" hidden="1" x14ac:dyDescent="0.35">
      <c r="A34" s="4" t="s">
        <v>21</v>
      </c>
      <c r="B34" s="6"/>
      <c r="C34" s="6"/>
      <c r="D34" s="8"/>
      <c r="E34" s="6">
        <f t="shared" si="0"/>
        <v>0</v>
      </c>
      <c r="F34" s="13"/>
      <c r="G34" s="14">
        <f t="shared" si="1"/>
        <v>0</v>
      </c>
      <c r="H34" s="6">
        <v>5</v>
      </c>
      <c r="I34" s="8"/>
    </row>
    <row r="35" spans="1:9" hidden="1" x14ac:dyDescent="0.35">
      <c r="A35" s="4" t="s">
        <v>22</v>
      </c>
      <c r="B35" s="6"/>
      <c r="C35" s="6"/>
      <c r="D35" s="8"/>
      <c r="E35" s="6">
        <f t="shared" si="0"/>
        <v>0</v>
      </c>
      <c r="F35" s="13"/>
      <c r="G35" s="14">
        <f t="shared" si="1"/>
        <v>0</v>
      </c>
      <c r="H35" s="6">
        <v>19500</v>
      </c>
      <c r="I35" s="8"/>
    </row>
    <row r="36" spans="1:9" hidden="1" x14ac:dyDescent="0.35">
      <c r="A36" s="4" t="s">
        <v>23</v>
      </c>
      <c r="B36" s="6"/>
      <c r="C36" s="6"/>
      <c r="D36" s="8"/>
      <c r="E36" s="6">
        <f t="shared" si="0"/>
        <v>0</v>
      </c>
      <c r="F36" s="13"/>
      <c r="G36" s="14">
        <f t="shared" si="1"/>
        <v>0</v>
      </c>
      <c r="H36" s="6">
        <v>4900</v>
      </c>
      <c r="I36" s="8"/>
    </row>
    <row r="37" spans="1:9" hidden="1" x14ac:dyDescent="0.35">
      <c r="A37" s="4" t="s">
        <v>24</v>
      </c>
      <c r="B37" s="6"/>
      <c r="C37" s="6"/>
      <c r="D37" s="8"/>
      <c r="E37" s="6">
        <f t="shared" si="0"/>
        <v>0</v>
      </c>
      <c r="F37" s="13"/>
      <c r="G37" s="14">
        <f t="shared" si="1"/>
        <v>0</v>
      </c>
      <c r="H37" s="6">
        <v>16040</v>
      </c>
      <c r="I37" s="8"/>
    </row>
    <row r="38" spans="1:9" hidden="1" x14ac:dyDescent="0.35">
      <c r="A38" s="4" t="s">
        <v>25</v>
      </c>
      <c r="B38" s="6"/>
      <c r="C38" s="6"/>
      <c r="D38" s="8"/>
      <c r="E38" s="6">
        <f t="shared" si="0"/>
        <v>0</v>
      </c>
      <c r="F38" s="13"/>
      <c r="G38" s="14">
        <f t="shared" si="1"/>
        <v>0</v>
      </c>
      <c r="H38" s="6">
        <v>9900</v>
      </c>
      <c r="I38" s="8"/>
    </row>
    <row r="39" spans="1:9" hidden="1" x14ac:dyDescent="0.35">
      <c r="A39" s="4" t="s">
        <v>26</v>
      </c>
      <c r="B39" s="6"/>
      <c r="C39" s="6"/>
      <c r="D39" s="8"/>
      <c r="E39" s="6">
        <f t="shared" si="0"/>
        <v>0</v>
      </c>
      <c r="F39" s="13"/>
      <c r="G39" s="14">
        <f t="shared" si="1"/>
        <v>0</v>
      </c>
      <c r="H39" s="6">
        <v>1250</v>
      </c>
      <c r="I39" s="8"/>
    </row>
    <row r="40" spans="1:9" hidden="1" x14ac:dyDescent="0.35">
      <c r="A40" s="4" t="s">
        <v>27</v>
      </c>
      <c r="B40" s="6"/>
      <c r="C40" s="6"/>
      <c r="D40" s="8"/>
      <c r="E40" s="6">
        <f t="shared" si="0"/>
        <v>0</v>
      </c>
      <c r="F40" s="13"/>
      <c r="G40" s="14">
        <f t="shared" si="1"/>
        <v>0</v>
      </c>
      <c r="H40" s="6">
        <v>7757</v>
      </c>
      <c r="I40" s="8"/>
    </row>
    <row r="41" spans="1:9" hidden="1" x14ac:dyDescent="0.35">
      <c r="A41" s="4" t="s">
        <v>28</v>
      </c>
      <c r="B41" s="6"/>
      <c r="C41" s="6"/>
      <c r="D41" s="8"/>
      <c r="E41" s="6">
        <f t="shared" si="0"/>
        <v>0</v>
      </c>
      <c r="F41" s="13"/>
      <c r="G41" s="14">
        <f t="shared" si="1"/>
        <v>0</v>
      </c>
      <c r="H41" s="6">
        <v>0</v>
      </c>
      <c r="I41" s="24"/>
    </row>
    <row r="42" spans="1:9" x14ac:dyDescent="0.35">
      <c r="A42" s="4" t="s">
        <v>29</v>
      </c>
      <c r="B42" s="7">
        <f>SUBTOTAL(9,B30:B41)</f>
        <v>0</v>
      </c>
      <c r="C42" s="7">
        <f>SUBTOTAL(9,C30:C41)</f>
        <v>0</v>
      </c>
      <c r="D42" s="7"/>
      <c r="E42" s="7">
        <f t="shared" si="0"/>
        <v>0</v>
      </c>
      <c r="F42" s="15">
        <f>SUBTOTAL(9,F30:F41)</f>
        <v>50000</v>
      </c>
      <c r="G42" s="16">
        <f t="shared" si="1"/>
        <v>-50000</v>
      </c>
      <c r="H42" s="7">
        <f>SUBTOTAL(9,H30:H41)</f>
        <v>141612</v>
      </c>
      <c r="I42" s="24"/>
    </row>
    <row r="43" spans="1:9" hidden="1" x14ac:dyDescent="0.35">
      <c r="A43" s="4" t="s">
        <v>30</v>
      </c>
      <c r="B43" s="6"/>
      <c r="C43" s="6"/>
      <c r="D43" s="8"/>
      <c r="E43" s="6">
        <f t="shared" si="0"/>
        <v>0</v>
      </c>
      <c r="F43" s="13"/>
      <c r="G43" s="14">
        <f t="shared" si="1"/>
        <v>0</v>
      </c>
      <c r="H43" s="6"/>
      <c r="I43" s="8"/>
    </row>
    <row r="44" spans="1:9" hidden="1" x14ac:dyDescent="0.35">
      <c r="A44" s="4" t="s">
        <v>31</v>
      </c>
      <c r="B44" s="6"/>
      <c r="C44" s="6"/>
      <c r="D44" s="8"/>
      <c r="E44" s="6">
        <f t="shared" si="0"/>
        <v>0</v>
      </c>
      <c r="F44" s="13"/>
      <c r="G44" s="14">
        <f t="shared" si="1"/>
        <v>0</v>
      </c>
      <c r="H44" s="6"/>
      <c r="I44" s="8"/>
    </row>
    <row r="45" spans="1:9" hidden="1" x14ac:dyDescent="0.35">
      <c r="A45" s="4" t="s">
        <v>32</v>
      </c>
      <c r="B45" s="6"/>
      <c r="C45" s="6"/>
      <c r="D45" s="8"/>
      <c r="E45" s="6">
        <f t="shared" si="0"/>
        <v>0</v>
      </c>
      <c r="F45" s="13"/>
      <c r="G45" s="14">
        <f t="shared" si="1"/>
        <v>0</v>
      </c>
      <c r="H45" s="6"/>
      <c r="I45" s="24"/>
    </row>
    <row r="46" spans="1:9" hidden="1" x14ac:dyDescent="0.35">
      <c r="A46" s="4" t="s">
        <v>33</v>
      </c>
      <c r="B46" s="7">
        <f>SUBTOTAL(9,B44:B45)</f>
        <v>0</v>
      </c>
      <c r="C46" s="7">
        <f>SUBTOTAL(9,C44:C45)</f>
        <v>0</v>
      </c>
      <c r="D46" s="7"/>
      <c r="E46" s="7">
        <f t="shared" si="0"/>
        <v>0</v>
      </c>
      <c r="F46" s="15">
        <f>SUBTOTAL(9,F44:F45)</f>
        <v>0</v>
      </c>
      <c r="G46" s="16">
        <f t="shared" si="1"/>
        <v>0</v>
      </c>
      <c r="H46" s="7">
        <f>SUBTOTAL(9,H44:H45)</f>
        <v>0</v>
      </c>
      <c r="I46" s="24"/>
    </row>
    <row r="47" spans="1:9" hidden="1" x14ac:dyDescent="0.35">
      <c r="A47" s="4" t="s">
        <v>34</v>
      </c>
      <c r="B47" s="6"/>
      <c r="C47" s="6"/>
      <c r="D47" s="8"/>
      <c r="E47" s="6">
        <f t="shared" si="0"/>
        <v>0</v>
      </c>
      <c r="F47" s="13"/>
      <c r="G47" s="14">
        <f t="shared" si="1"/>
        <v>0</v>
      </c>
      <c r="H47" s="6"/>
      <c r="I47" s="8"/>
    </row>
    <row r="48" spans="1:9" hidden="1" x14ac:dyDescent="0.35">
      <c r="A48" s="4" t="s">
        <v>35</v>
      </c>
      <c r="B48" s="6"/>
      <c r="C48" s="6"/>
      <c r="D48" s="8"/>
      <c r="E48" s="6">
        <f t="shared" si="0"/>
        <v>0</v>
      </c>
      <c r="F48" s="13"/>
      <c r="G48" s="14">
        <f t="shared" si="1"/>
        <v>0</v>
      </c>
      <c r="H48" s="6"/>
      <c r="I48" s="8"/>
    </row>
    <row r="49" spans="1:9" x14ac:dyDescent="0.35">
      <c r="A49" s="4" t="s">
        <v>36</v>
      </c>
      <c r="B49" s="6"/>
      <c r="C49" s="6"/>
      <c r="D49" s="8"/>
      <c r="E49" s="6">
        <f t="shared" si="0"/>
        <v>0</v>
      </c>
      <c r="F49" s="13">
        <f>10000</f>
        <v>10000</v>
      </c>
      <c r="G49" s="14">
        <f t="shared" si="1"/>
        <v>-10000</v>
      </c>
      <c r="H49" s="6"/>
      <c r="I49" s="8"/>
    </row>
    <row r="50" spans="1:9" x14ac:dyDescent="0.35">
      <c r="A50" s="4" t="s">
        <v>37</v>
      </c>
      <c r="B50" s="6"/>
      <c r="C50" s="6"/>
      <c r="D50" s="8"/>
      <c r="E50" s="6">
        <f t="shared" si="0"/>
        <v>0</v>
      </c>
      <c r="F50" s="13"/>
      <c r="G50" s="14">
        <f t="shared" si="1"/>
        <v>0</v>
      </c>
      <c r="H50" s="6"/>
      <c r="I50" s="8"/>
    </row>
    <row r="51" spans="1:9" x14ac:dyDescent="0.35">
      <c r="A51" s="4" t="s">
        <v>38</v>
      </c>
      <c r="B51" s="6"/>
      <c r="C51" s="6"/>
      <c r="D51" s="8"/>
      <c r="E51" s="6">
        <f t="shared" si="0"/>
        <v>0</v>
      </c>
      <c r="F51" s="13"/>
      <c r="G51" s="14">
        <f t="shared" si="1"/>
        <v>0</v>
      </c>
      <c r="H51" s="6"/>
      <c r="I51" s="24"/>
    </row>
    <row r="52" spans="1:9" x14ac:dyDescent="0.35">
      <c r="A52" s="4" t="s">
        <v>39</v>
      </c>
      <c r="B52" s="7">
        <f>SUBTOTAL(9,B50:B51)</f>
        <v>0</v>
      </c>
      <c r="C52" s="7">
        <f>SUBTOTAL(9,C50:C51)</f>
        <v>0</v>
      </c>
      <c r="D52" s="7"/>
      <c r="E52" s="7">
        <f t="shared" si="0"/>
        <v>0</v>
      </c>
      <c r="F52" s="15">
        <f>SUBTOTAL(9,F50:F51)</f>
        <v>0</v>
      </c>
      <c r="G52" s="16">
        <f t="shared" si="1"/>
        <v>0</v>
      </c>
      <c r="H52" s="7">
        <f>SUBTOTAL(9,H50:H51)</f>
        <v>0</v>
      </c>
      <c r="I52" s="24"/>
    </row>
    <row r="53" spans="1:9" x14ac:dyDescent="0.35">
      <c r="A53" s="4" t="s">
        <v>40</v>
      </c>
      <c r="B53" s="7">
        <f>((((((((((B9)+(B13))+(B20))+(B29))+(B42))+(B43))+(B46))+(B47))+(B48))+(B49))+(B52)</f>
        <v>286511.43</v>
      </c>
      <c r="C53" s="7">
        <f>((((((((((C9)+(C13))+(C20))+(C29))+(C42))+(C43))+(C46))+(C47))+(C48))+(C49))+(C52)</f>
        <v>0</v>
      </c>
      <c r="D53" s="7"/>
      <c r="E53" s="7">
        <f t="shared" si="0"/>
        <v>286511.43</v>
      </c>
      <c r="F53" s="15">
        <f>((((((((((F9)+(F13))+(F20))+(F29))+(F42))+(F43))+(F46))+(F47))+(F48))+(F49))+(F52)</f>
        <v>240000</v>
      </c>
      <c r="G53" s="16">
        <f t="shared" si="1"/>
        <v>46511.429999999993</v>
      </c>
      <c r="H53" s="7">
        <f>((((((((((H9)+(H13))+(H20))+(H29))+(H42))+(H43))+(H46))+(H47))+(H48))+(H49))+(H52)</f>
        <v>395077.86</v>
      </c>
      <c r="I53" s="24"/>
    </row>
    <row r="54" spans="1:9" x14ac:dyDescent="0.35">
      <c r="A54" s="4" t="s">
        <v>104</v>
      </c>
      <c r="B54" s="6">
        <v>557.74</v>
      </c>
      <c r="C54" s="6"/>
      <c r="D54" s="8"/>
      <c r="E54" s="6">
        <f t="shared" si="0"/>
        <v>557.74</v>
      </c>
      <c r="F54" s="13"/>
      <c r="G54" s="14">
        <f t="shared" si="1"/>
        <v>557.74</v>
      </c>
      <c r="H54" s="6"/>
      <c r="I54" s="8"/>
    </row>
    <row r="55" spans="1:9" x14ac:dyDescent="0.35">
      <c r="A55" s="4" t="s">
        <v>138</v>
      </c>
      <c r="B55" s="6">
        <v>60000</v>
      </c>
      <c r="C55" s="6"/>
      <c r="D55" s="8"/>
      <c r="E55" s="6">
        <f t="shared" si="0"/>
        <v>60000</v>
      </c>
      <c r="F55" s="13"/>
      <c r="G55" s="14">
        <f t="shared" si="1"/>
        <v>60000</v>
      </c>
      <c r="H55" s="6"/>
      <c r="I55" s="8"/>
    </row>
    <row r="56" spans="1:9" x14ac:dyDescent="0.35">
      <c r="A56" s="4" t="s">
        <v>41</v>
      </c>
      <c r="B56" s="6">
        <f>1600</f>
        <v>1600</v>
      </c>
      <c r="C56" s="6"/>
      <c r="D56" s="8"/>
      <c r="E56" s="6">
        <f t="shared" si="0"/>
        <v>1600</v>
      </c>
      <c r="F56" s="13"/>
      <c r="G56" s="14">
        <f t="shared" si="1"/>
        <v>1600</v>
      </c>
      <c r="H56" s="6">
        <v>1900</v>
      </c>
      <c r="I56" s="24"/>
    </row>
    <row r="57" spans="1:9" x14ac:dyDescent="0.35">
      <c r="A57" s="4" t="s">
        <v>125</v>
      </c>
      <c r="B57" s="7">
        <f>SUBTOTAL(9,B54:B56)</f>
        <v>62157.74</v>
      </c>
      <c r="C57" s="7">
        <f>SUBTOTAL(9,C54:C56)</f>
        <v>0</v>
      </c>
      <c r="D57" s="7"/>
      <c r="E57" s="7">
        <f t="shared" si="0"/>
        <v>62157.74</v>
      </c>
      <c r="F57" s="15">
        <f>SUBTOTAL(9,F54:F56)</f>
        <v>0</v>
      </c>
      <c r="G57" s="16">
        <f t="shared" si="1"/>
        <v>62157.74</v>
      </c>
      <c r="H57" s="7">
        <f>SUBTOTAL(9,H54:H56)</f>
        <v>1900</v>
      </c>
      <c r="I57" s="24"/>
    </row>
    <row r="58" spans="1:9" x14ac:dyDescent="0.35">
      <c r="A58" s="4" t="s">
        <v>42</v>
      </c>
      <c r="B58" s="6"/>
      <c r="C58" s="6"/>
      <c r="D58" s="8"/>
      <c r="E58" s="6">
        <f t="shared" si="0"/>
        <v>0</v>
      </c>
      <c r="F58" s="13"/>
      <c r="G58" s="14">
        <f t="shared" si="1"/>
        <v>0</v>
      </c>
      <c r="H58" s="6"/>
      <c r="I58" s="24"/>
    </row>
    <row r="59" spans="1:9" x14ac:dyDescent="0.35">
      <c r="A59" s="4" t="s">
        <v>178</v>
      </c>
      <c r="B59" s="7">
        <f>((B53)+(B57))+(B58)</f>
        <v>348669.17</v>
      </c>
      <c r="C59" s="7">
        <f>((C53)+(C57))+(C58)</f>
        <v>0</v>
      </c>
      <c r="D59" s="7"/>
      <c r="E59" s="7">
        <f t="shared" si="0"/>
        <v>348669.17</v>
      </c>
      <c r="F59" s="15">
        <f>((F53)+(F57))+(F58)</f>
        <v>240000</v>
      </c>
      <c r="G59" s="16">
        <f t="shared" si="1"/>
        <v>108669.16999999998</v>
      </c>
      <c r="H59" s="7">
        <f>((H53)+(H57))+(H58)</f>
        <v>396977.86</v>
      </c>
      <c r="I59" s="24"/>
    </row>
    <row r="60" spans="1:9" x14ac:dyDescent="0.35">
      <c r="A60" s="4" t="s">
        <v>43</v>
      </c>
      <c r="B60" s="7">
        <f>(B59)-(0)</f>
        <v>348669.17</v>
      </c>
      <c r="C60" s="7">
        <f>(C59)-(0)</f>
        <v>0</v>
      </c>
      <c r="D60" s="7"/>
      <c r="E60" s="7">
        <f t="shared" si="0"/>
        <v>348669.17</v>
      </c>
      <c r="F60" s="15">
        <f>(F59)-(0)</f>
        <v>240000</v>
      </c>
      <c r="G60" s="16">
        <f t="shared" si="1"/>
        <v>108669.16999999998</v>
      </c>
      <c r="H60" s="7">
        <f>(H59)-(0)</f>
        <v>396977.86</v>
      </c>
      <c r="I60" s="24"/>
    </row>
    <row r="61" spans="1:9" x14ac:dyDescent="0.35">
      <c r="A61" s="4" t="s">
        <v>179</v>
      </c>
      <c r="B61" s="6"/>
      <c r="C61" s="6"/>
      <c r="D61" s="8"/>
      <c r="E61" s="6">
        <f t="shared" si="0"/>
        <v>0</v>
      </c>
      <c r="F61" s="13"/>
      <c r="G61" s="14">
        <f t="shared" si="1"/>
        <v>0</v>
      </c>
      <c r="H61" s="6"/>
      <c r="I61" s="8"/>
    </row>
    <row r="62" spans="1:9" x14ac:dyDescent="0.35">
      <c r="A62" s="4" t="s">
        <v>44</v>
      </c>
      <c r="B62" s="6"/>
      <c r="C62" s="6"/>
      <c r="D62" s="8"/>
      <c r="E62" s="6">
        <f t="shared" si="0"/>
        <v>0</v>
      </c>
      <c r="F62" s="13"/>
      <c r="G62" s="14">
        <f t="shared" si="1"/>
        <v>0</v>
      </c>
      <c r="H62" s="6"/>
      <c r="I62" s="8"/>
    </row>
    <row r="63" spans="1:9" x14ac:dyDescent="0.35">
      <c r="A63" s="4" t="s">
        <v>45</v>
      </c>
      <c r="B63" s="6">
        <v>24</v>
      </c>
      <c r="C63" s="6"/>
      <c r="D63" s="8"/>
      <c r="E63" s="6">
        <f t="shared" si="0"/>
        <v>24</v>
      </c>
      <c r="F63" s="13">
        <v>0</v>
      </c>
      <c r="G63" s="14">
        <f t="shared" si="1"/>
        <v>24</v>
      </c>
      <c r="H63" s="6">
        <v>24.5</v>
      </c>
      <c r="I63" s="8"/>
    </row>
    <row r="64" spans="1:9" x14ac:dyDescent="0.35">
      <c r="A64" s="4" t="s">
        <v>46</v>
      </c>
      <c r="B64" s="6"/>
      <c r="C64" s="6"/>
      <c r="D64" s="8"/>
      <c r="E64" s="6">
        <f t="shared" si="0"/>
        <v>0</v>
      </c>
      <c r="F64" s="13">
        <f>150</f>
        <v>150</v>
      </c>
      <c r="G64" s="14">
        <f t="shared" si="1"/>
        <v>-150</v>
      </c>
      <c r="H64" s="6">
        <v>150</v>
      </c>
      <c r="I64" s="8"/>
    </row>
    <row r="65" spans="1:9" x14ac:dyDescent="0.35">
      <c r="A65" s="4" t="s">
        <v>105</v>
      </c>
      <c r="B65" s="6"/>
      <c r="C65" s="6"/>
      <c r="D65" s="8"/>
      <c r="E65" s="6">
        <f t="shared" si="0"/>
        <v>0</v>
      </c>
      <c r="F65" s="13">
        <v>0</v>
      </c>
      <c r="G65" s="14">
        <f t="shared" si="1"/>
        <v>0</v>
      </c>
      <c r="H65" s="6">
        <v>96</v>
      </c>
      <c r="I65" s="8"/>
    </row>
    <row r="66" spans="1:9" x14ac:dyDescent="0.35">
      <c r="A66" s="4" t="s">
        <v>47</v>
      </c>
      <c r="B66" s="6"/>
      <c r="C66" s="6"/>
      <c r="D66" s="8"/>
      <c r="E66" s="6">
        <f t="shared" si="0"/>
        <v>0</v>
      </c>
      <c r="F66" s="13">
        <f>150</f>
        <v>150</v>
      </c>
      <c r="G66" s="14">
        <f t="shared" si="1"/>
        <v>-150</v>
      </c>
      <c r="H66" s="6">
        <v>0</v>
      </c>
      <c r="I66" s="8"/>
    </row>
    <row r="67" spans="1:9" x14ac:dyDescent="0.35">
      <c r="A67" s="4" t="s">
        <v>48</v>
      </c>
      <c r="B67" s="6">
        <v>375</v>
      </c>
      <c r="C67" s="6"/>
      <c r="D67" s="8"/>
      <c r="E67" s="6">
        <f t="shared" si="0"/>
        <v>375</v>
      </c>
      <c r="F67" s="13">
        <f>630</f>
        <v>630</v>
      </c>
      <c r="G67" s="14">
        <f t="shared" si="1"/>
        <v>-255</v>
      </c>
      <c r="H67" s="6">
        <v>375</v>
      </c>
      <c r="I67" s="8"/>
    </row>
    <row r="68" spans="1:9" x14ac:dyDescent="0.35">
      <c r="A68" s="4" t="s">
        <v>49</v>
      </c>
      <c r="B68" s="6"/>
      <c r="C68" s="6"/>
      <c r="D68" s="8"/>
      <c r="E68" s="6">
        <f t="shared" si="0"/>
        <v>0</v>
      </c>
      <c r="F68" s="13">
        <f>0</f>
        <v>0</v>
      </c>
      <c r="G68" s="14">
        <f t="shared" si="1"/>
        <v>0</v>
      </c>
      <c r="H68" s="6">
        <v>0</v>
      </c>
      <c r="I68" s="8"/>
    </row>
    <row r="69" spans="1:9" x14ac:dyDescent="0.35">
      <c r="A69" s="4" t="s">
        <v>50</v>
      </c>
      <c r="B69" s="6">
        <v>365.84</v>
      </c>
      <c r="C69" s="6"/>
      <c r="D69" s="8"/>
      <c r="E69" s="6">
        <f t="shared" si="0"/>
        <v>365.84</v>
      </c>
      <c r="F69" s="13">
        <f>375</f>
        <v>375</v>
      </c>
      <c r="G69" s="14">
        <f t="shared" si="1"/>
        <v>-9.160000000000025</v>
      </c>
      <c r="H69" s="6">
        <v>365.84</v>
      </c>
      <c r="I69" s="8"/>
    </row>
    <row r="70" spans="1:9" x14ac:dyDescent="0.35">
      <c r="A70" s="4" t="s">
        <v>51</v>
      </c>
      <c r="B70" s="6"/>
      <c r="C70" s="6"/>
      <c r="D70" s="8"/>
      <c r="E70" s="6">
        <f t="shared" si="0"/>
        <v>0</v>
      </c>
      <c r="F70" s="13">
        <f>2500</f>
        <v>2500</v>
      </c>
      <c r="G70" s="14">
        <f t="shared" si="1"/>
        <v>-2500</v>
      </c>
      <c r="H70" s="6">
        <v>0</v>
      </c>
      <c r="I70" s="8"/>
    </row>
    <row r="71" spans="1:9" x14ac:dyDescent="0.35">
      <c r="A71" s="4" t="s">
        <v>128</v>
      </c>
      <c r="B71" s="6">
        <v>499.37</v>
      </c>
      <c r="C71" s="6"/>
      <c r="D71" s="8"/>
      <c r="E71" s="6">
        <f t="shared" si="0"/>
        <v>499.37</v>
      </c>
      <c r="F71" s="13">
        <v>0</v>
      </c>
      <c r="G71" s="14">
        <f t="shared" si="1"/>
        <v>499.37</v>
      </c>
      <c r="H71" s="6">
        <v>92.55</v>
      </c>
      <c r="I71" s="8"/>
    </row>
    <row r="72" spans="1:9" x14ac:dyDescent="0.35">
      <c r="A72" s="4" t="s">
        <v>52</v>
      </c>
      <c r="B72" s="6">
        <f>50+75</f>
        <v>125</v>
      </c>
      <c r="C72" s="6"/>
      <c r="D72" s="8"/>
      <c r="E72" s="6">
        <f t="shared" si="0"/>
        <v>125</v>
      </c>
      <c r="F72" s="13">
        <f>0</f>
        <v>0</v>
      </c>
      <c r="G72" s="14">
        <f t="shared" si="1"/>
        <v>125</v>
      </c>
      <c r="H72" s="6">
        <v>95</v>
      </c>
      <c r="I72" s="24"/>
    </row>
    <row r="73" spans="1:9" x14ac:dyDescent="0.35">
      <c r="A73" s="4" t="s">
        <v>53</v>
      </c>
      <c r="B73" s="7">
        <f>SUBTOTAL(9,B62:B72)</f>
        <v>1389.21</v>
      </c>
      <c r="C73" s="7">
        <f>SUBTOTAL(9,C62:C72)</f>
        <v>0</v>
      </c>
      <c r="D73" s="7"/>
      <c r="E73" s="7">
        <f t="shared" si="0"/>
        <v>1389.21</v>
      </c>
      <c r="F73" s="15">
        <f>SUBTOTAL(9,F62:F72)</f>
        <v>3805</v>
      </c>
      <c r="G73" s="16">
        <f t="shared" si="1"/>
        <v>-2415.79</v>
      </c>
      <c r="H73" s="7">
        <f>SUBTOTAL(9,H62:H72)</f>
        <v>1198.8899999999999</v>
      </c>
      <c r="I73" s="24"/>
    </row>
    <row r="74" spans="1:9" x14ac:dyDescent="0.35">
      <c r="A74" s="4" t="s">
        <v>54</v>
      </c>
      <c r="B74" s="6"/>
      <c r="C74" s="6"/>
      <c r="D74" s="8"/>
      <c r="E74" s="6">
        <f t="shared" si="0"/>
        <v>0</v>
      </c>
      <c r="F74" s="13"/>
      <c r="G74" s="14">
        <f t="shared" si="1"/>
        <v>0</v>
      </c>
      <c r="H74" s="6"/>
      <c r="I74" s="8"/>
    </row>
    <row r="75" spans="1:9" x14ac:dyDescent="0.35">
      <c r="A75" s="4" t="s">
        <v>55</v>
      </c>
      <c r="B75" s="6">
        <f>280</f>
        <v>280</v>
      </c>
      <c r="C75" s="6"/>
      <c r="D75" s="8"/>
      <c r="E75" s="6">
        <f t="shared" si="0"/>
        <v>280</v>
      </c>
      <c r="F75" s="13"/>
      <c r="G75" s="14">
        <f t="shared" si="1"/>
        <v>280</v>
      </c>
      <c r="H75" s="6"/>
      <c r="I75" s="8"/>
    </row>
    <row r="76" spans="1:9" x14ac:dyDescent="0.35">
      <c r="A76" s="4" t="s">
        <v>5</v>
      </c>
      <c r="B76" s="6"/>
      <c r="C76" s="6"/>
      <c r="D76" s="8"/>
      <c r="E76" s="6">
        <f t="shared" si="0"/>
        <v>0</v>
      </c>
      <c r="F76" s="13"/>
      <c r="G76" s="14">
        <f t="shared" si="1"/>
        <v>0</v>
      </c>
      <c r="H76" s="6"/>
      <c r="I76" s="8"/>
    </row>
    <row r="77" spans="1:9" x14ac:dyDescent="0.35">
      <c r="A77" s="4" t="s">
        <v>106</v>
      </c>
      <c r="B77" s="6"/>
      <c r="C77" s="6"/>
      <c r="D77" s="8"/>
      <c r="E77" s="6">
        <f t="shared" si="0"/>
        <v>0</v>
      </c>
      <c r="F77" s="13"/>
      <c r="G77" s="14">
        <f t="shared" si="1"/>
        <v>0</v>
      </c>
      <c r="H77" s="6">
        <v>117.34</v>
      </c>
      <c r="I77" s="8"/>
    </row>
    <row r="78" spans="1:9" x14ac:dyDescent="0.35">
      <c r="A78" s="4" t="s">
        <v>107</v>
      </c>
      <c r="B78" s="6"/>
      <c r="C78" s="6"/>
      <c r="D78" s="8"/>
      <c r="E78" s="6">
        <f>B78+C78</f>
        <v>0</v>
      </c>
      <c r="F78" s="13"/>
      <c r="G78" s="14">
        <f>(E78)-(F78)</f>
        <v>0</v>
      </c>
      <c r="H78" s="6">
        <v>6315.23</v>
      </c>
      <c r="I78" s="8"/>
    </row>
    <row r="79" spans="1:9" x14ac:dyDescent="0.35">
      <c r="A79" s="4" t="s">
        <v>108</v>
      </c>
      <c r="B79" s="6"/>
      <c r="C79" s="6"/>
      <c r="D79" s="8"/>
      <c r="E79" s="6">
        <f>B79+C79</f>
        <v>0</v>
      </c>
      <c r="F79" s="13"/>
      <c r="G79" s="14">
        <f>(E79)-(F79)</f>
        <v>0</v>
      </c>
      <c r="H79" s="6">
        <v>1500</v>
      </c>
      <c r="I79" s="8"/>
    </row>
    <row r="80" spans="1:9" x14ac:dyDescent="0.35">
      <c r="A80" s="4" t="s">
        <v>62</v>
      </c>
      <c r="B80" s="6"/>
      <c r="C80" s="6"/>
      <c r="D80" s="8"/>
      <c r="E80" s="6">
        <f>B80+C80</f>
        <v>0</v>
      </c>
      <c r="F80" s="13"/>
      <c r="G80" s="14">
        <f>(E80)-(F80)</f>
        <v>0</v>
      </c>
      <c r="H80" s="6">
        <v>75.709999999999994</v>
      </c>
      <c r="I80" s="24"/>
    </row>
    <row r="81" spans="1:9" x14ac:dyDescent="0.35">
      <c r="A81" s="4" t="s">
        <v>10</v>
      </c>
      <c r="B81" s="7">
        <f>SUBTOTAL(9,B76:B80)</f>
        <v>0</v>
      </c>
      <c r="C81" s="7">
        <f>SUBTOTAL(9,C76:C80)</f>
        <v>0</v>
      </c>
      <c r="D81" s="7"/>
      <c r="E81" s="7">
        <f>B81+C81</f>
        <v>0</v>
      </c>
      <c r="F81" s="15">
        <f>SUBTOTAL(9,F76:F80)</f>
        <v>0</v>
      </c>
      <c r="G81" s="16">
        <f>(E81)-(F81)</f>
        <v>0</v>
      </c>
      <c r="H81" s="7">
        <f>SUBTOTAL(9,H76:H80)</f>
        <v>8008.28</v>
      </c>
      <c r="I81" s="24"/>
    </row>
    <row r="82" spans="1:9" x14ac:dyDescent="0.35">
      <c r="A82" s="4" t="s">
        <v>56</v>
      </c>
      <c r="B82" s="6"/>
      <c r="C82" s="6"/>
      <c r="D82" s="8"/>
      <c r="E82" s="6">
        <f t="shared" ref="E82:E175" si="2">B82+C82</f>
        <v>0</v>
      </c>
      <c r="F82" s="13"/>
      <c r="G82" s="14">
        <f t="shared" ref="G82:G175" si="3">(E82)-(F82)</f>
        <v>0</v>
      </c>
      <c r="H82" s="6"/>
      <c r="I82" s="8"/>
    </row>
    <row r="83" spans="1:9" x14ac:dyDescent="0.35">
      <c r="A83" s="4" t="s">
        <v>57</v>
      </c>
      <c r="B83" s="6">
        <f>320.18</f>
        <v>320.18</v>
      </c>
      <c r="C83" s="6"/>
      <c r="D83" s="8"/>
      <c r="E83" s="6">
        <f t="shared" si="2"/>
        <v>320.18</v>
      </c>
      <c r="F83" s="13"/>
      <c r="G83" s="14">
        <f t="shared" si="3"/>
        <v>320.18</v>
      </c>
      <c r="H83" s="6">
        <v>0</v>
      </c>
      <c r="I83" s="8"/>
    </row>
    <row r="84" spans="1:9" x14ac:dyDescent="0.35">
      <c r="A84" s="4" t="s">
        <v>133</v>
      </c>
      <c r="B84" s="6">
        <v>340.2</v>
      </c>
      <c r="C84" s="6"/>
      <c r="D84" s="8"/>
      <c r="E84" s="6">
        <f>B84+C84</f>
        <v>340.2</v>
      </c>
      <c r="F84" s="13"/>
      <c r="G84" s="14">
        <f>(E84)-(F84)</f>
        <v>340.2</v>
      </c>
      <c r="H84" s="6">
        <v>0</v>
      </c>
      <c r="I84" s="8"/>
    </row>
    <row r="85" spans="1:9" x14ac:dyDescent="0.35">
      <c r="A85" s="4" t="s">
        <v>109</v>
      </c>
      <c r="B85" s="6">
        <v>0</v>
      </c>
      <c r="C85" s="6"/>
      <c r="D85" s="8"/>
      <c r="E85" s="6">
        <f t="shared" si="2"/>
        <v>0</v>
      </c>
      <c r="F85" s="13"/>
      <c r="G85" s="14">
        <f t="shared" si="3"/>
        <v>0</v>
      </c>
      <c r="H85" s="6">
        <v>185.3</v>
      </c>
      <c r="I85" s="8"/>
    </row>
    <row r="86" spans="1:9" x14ac:dyDescent="0.35">
      <c r="A86" s="4" t="s">
        <v>58</v>
      </c>
      <c r="B86" s="6">
        <f>414.95</f>
        <v>414.95</v>
      </c>
      <c r="C86" s="6"/>
      <c r="D86" s="8"/>
      <c r="E86" s="6">
        <f t="shared" si="2"/>
        <v>414.95</v>
      </c>
      <c r="F86" s="13"/>
      <c r="G86" s="14">
        <f t="shared" si="3"/>
        <v>414.95</v>
      </c>
      <c r="H86" s="6">
        <v>741.2</v>
      </c>
      <c r="I86" s="8"/>
    </row>
    <row r="87" spans="1:9" x14ac:dyDescent="0.35">
      <c r="A87" s="4" t="s">
        <v>110</v>
      </c>
      <c r="B87" s="6">
        <v>0</v>
      </c>
      <c r="C87" s="6"/>
      <c r="D87" s="8"/>
      <c r="E87" s="6">
        <f t="shared" si="2"/>
        <v>0</v>
      </c>
      <c r="F87" s="13"/>
      <c r="G87" s="14">
        <f t="shared" si="3"/>
        <v>0</v>
      </c>
      <c r="H87" s="6">
        <v>248.67</v>
      </c>
      <c r="I87" s="8"/>
    </row>
    <row r="88" spans="1:9" x14ac:dyDescent="0.35">
      <c r="A88" s="4" t="s">
        <v>59</v>
      </c>
      <c r="B88" s="6">
        <f>463.25</f>
        <v>463.25</v>
      </c>
      <c r="C88" s="6"/>
      <c r="D88" s="8"/>
      <c r="E88" s="6">
        <f t="shared" si="2"/>
        <v>463.25</v>
      </c>
      <c r="F88" s="13"/>
      <c r="G88" s="14">
        <f t="shared" si="3"/>
        <v>463.25</v>
      </c>
      <c r="H88" s="6">
        <v>163.5</v>
      </c>
      <c r="I88" s="8"/>
    </row>
    <row r="89" spans="1:9" x14ac:dyDescent="0.35">
      <c r="A89" s="4" t="s">
        <v>60</v>
      </c>
      <c r="B89" s="6">
        <f>2234</f>
        <v>2234</v>
      </c>
      <c r="C89" s="6"/>
      <c r="D89" s="8"/>
      <c r="E89" s="6">
        <f t="shared" si="2"/>
        <v>2234</v>
      </c>
      <c r="F89" s="13"/>
      <c r="G89" s="14">
        <f t="shared" si="3"/>
        <v>2234</v>
      </c>
      <c r="H89" s="6">
        <v>4402.72</v>
      </c>
      <c r="I89" s="8"/>
    </row>
    <row r="90" spans="1:9" x14ac:dyDescent="0.35">
      <c r="A90" s="4" t="s">
        <v>129</v>
      </c>
      <c r="B90" s="6">
        <v>288.32</v>
      </c>
      <c r="C90" s="6"/>
      <c r="D90" s="8"/>
      <c r="E90" s="6">
        <f>B90+C90</f>
        <v>288.32</v>
      </c>
      <c r="F90" s="13"/>
      <c r="G90" s="14">
        <f>(E90)-(F90)</f>
        <v>288.32</v>
      </c>
      <c r="H90" s="6"/>
      <c r="I90" s="8"/>
    </row>
    <row r="91" spans="1:9" x14ac:dyDescent="0.35">
      <c r="A91" s="4" t="s">
        <v>130</v>
      </c>
      <c r="B91" s="6">
        <f>503.34+372.11</f>
        <v>875.45</v>
      </c>
      <c r="C91" s="6"/>
      <c r="D91" s="8"/>
      <c r="E91" s="6">
        <f t="shared" si="2"/>
        <v>875.45</v>
      </c>
      <c r="F91" s="13"/>
      <c r="G91" s="14">
        <f t="shared" si="3"/>
        <v>875.45</v>
      </c>
      <c r="H91" s="6">
        <v>315.73</v>
      </c>
      <c r="I91" s="8"/>
    </row>
    <row r="92" spans="1:9" x14ac:dyDescent="0.35">
      <c r="A92" s="4" t="s">
        <v>61</v>
      </c>
      <c r="B92" s="6">
        <f>420.34</f>
        <v>420.34</v>
      </c>
      <c r="C92" s="6"/>
      <c r="D92" s="8"/>
      <c r="E92" s="6">
        <f t="shared" si="2"/>
        <v>420.34</v>
      </c>
      <c r="F92" s="13"/>
      <c r="G92" s="14">
        <f t="shared" si="3"/>
        <v>420.34</v>
      </c>
      <c r="H92" s="6">
        <v>0</v>
      </c>
      <c r="I92" s="8"/>
    </row>
    <row r="93" spans="1:9" x14ac:dyDescent="0.35">
      <c r="A93" s="4" t="s">
        <v>126</v>
      </c>
      <c r="B93" s="6">
        <v>1108.94</v>
      </c>
      <c r="C93" s="6"/>
      <c r="D93" s="8"/>
      <c r="E93" s="6">
        <f t="shared" si="2"/>
        <v>1108.94</v>
      </c>
      <c r="F93" s="13"/>
      <c r="G93" s="14">
        <f t="shared" si="3"/>
        <v>1108.94</v>
      </c>
      <c r="H93" s="6">
        <v>0</v>
      </c>
      <c r="I93" s="8"/>
    </row>
    <row r="94" spans="1:9" x14ac:dyDescent="0.35">
      <c r="A94" s="4" t="s">
        <v>62</v>
      </c>
      <c r="B94" s="6">
        <v>4359.55</v>
      </c>
      <c r="C94" s="6"/>
      <c r="D94" s="8"/>
      <c r="E94" s="6">
        <f t="shared" si="2"/>
        <v>4359.55</v>
      </c>
      <c r="F94" s="13"/>
      <c r="G94" s="14">
        <f t="shared" si="3"/>
        <v>4359.55</v>
      </c>
      <c r="H94" s="6">
        <v>1915.11</v>
      </c>
      <c r="I94" s="8"/>
    </row>
    <row r="95" spans="1:9" x14ac:dyDescent="0.35">
      <c r="A95" s="4" t="s">
        <v>137</v>
      </c>
      <c r="B95" s="6">
        <v>192.14</v>
      </c>
      <c r="C95" s="6"/>
      <c r="D95" s="8"/>
      <c r="E95" s="6">
        <f t="shared" si="2"/>
        <v>192.14</v>
      </c>
      <c r="F95" s="13"/>
      <c r="G95" s="14">
        <f t="shared" si="3"/>
        <v>192.14</v>
      </c>
      <c r="H95" s="6">
        <v>0</v>
      </c>
      <c r="I95" s="8"/>
    </row>
    <row r="96" spans="1:9" x14ac:dyDescent="0.35">
      <c r="A96" s="4" t="s">
        <v>63</v>
      </c>
      <c r="B96" s="6">
        <f>94.02</f>
        <v>94.02</v>
      </c>
      <c r="C96" s="6"/>
      <c r="D96" s="8"/>
      <c r="E96" s="6">
        <f t="shared" si="2"/>
        <v>94.02</v>
      </c>
      <c r="F96" s="13"/>
      <c r="G96" s="14">
        <f t="shared" si="3"/>
        <v>94.02</v>
      </c>
      <c r="H96" s="6">
        <v>0</v>
      </c>
      <c r="I96" s="24"/>
    </row>
    <row r="97" spans="1:9" x14ac:dyDescent="0.35">
      <c r="A97" s="4" t="s">
        <v>64</v>
      </c>
      <c r="B97" s="7">
        <f>SUBTOTAL(9,B82:B96)</f>
        <v>11111.34</v>
      </c>
      <c r="C97" s="7">
        <f>SUBTOTAL(9,C82:C96)</f>
        <v>0</v>
      </c>
      <c r="D97" s="7"/>
      <c r="E97" s="7">
        <f t="shared" si="2"/>
        <v>11111.34</v>
      </c>
      <c r="F97" s="15">
        <f>SUBTOTAL(9,F82:F96)</f>
        <v>0</v>
      </c>
      <c r="G97" s="16">
        <f t="shared" si="3"/>
        <v>11111.34</v>
      </c>
      <c r="H97" s="7">
        <f>SUBTOTAL(9,H82:H96)</f>
        <v>7972.2300000000005</v>
      </c>
      <c r="I97" s="24"/>
    </row>
    <row r="98" spans="1:9" x14ac:dyDescent="0.35">
      <c r="A98" s="4" t="s">
        <v>17</v>
      </c>
      <c r="B98" s="6"/>
      <c r="C98" s="6"/>
      <c r="D98" s="8"/>
      <c r="E98" s="6">
        <f t="shared" si="2"/>
        <v>0</v>
      </c>
      <c r="F98" s="13"/>
      <c r="G98" s="14">
        <f t="shared" si="3"/>
        <v>0</v>
      </c>
      <c r="H98" s="6"/>
      <c r="I98" s="8"/>
    </row>
    <row r="99" spans="1:9" x14ac:dyDescent="0.35">
      <c r="A99" s="4" t="s">
        <v>134</v>
      </c>
      <c r="B99" s="6">
        <v>124.26</v>
      </c>
      <c r="C99" s="6"/>
      <c r="D99" s="8"/>
      <c r="E99" s="6">
        <f t="shared" si="2"/>
        <v>124.26</v>
      </c>
      <c r="F99" s="13"/>
      <c r="G99" s="14">
        <f t="shared" si="3"/>
        <v>124.26</v>
      </c>
      <c r="H99" s="6">
        <v>2834.22</v>
      </c>
      <c r="I99" s="8"/>
    </row>
    <row r="100" spans="1:9" x14ac:dyDescent="0.35">
      <c r="A100" s="4" t="s">
        <v>135</v>
      </c>
      <c r="B100" s="6"/>
      <c r="C100" s="6"/>
      <c r="D100" s="8"/>
      <c r="E100" s="6"/>
      <c r="F100" s="13"/>
      <c r="G100" s="14"/>
      <c r="H100" s="6">
        <f>989+48+2474+300+22063+1863+500+1250+548+720</f>
        <v>30755</v>
      </c>
      <c r="I100" s="8"/>
    </row>
    <row r="101" spans="1:9" hidden="1" x14ac:dyDescent="0.35">
      <c r="A101" s="4" t="s">
        <v>111</v>
      </c>
      <c r="B101" s="6"/>
      <c r="C101" s="6"/>
      <c r="D101" s="8"/>
      <c r="E101" s="6">
        <f t="shared" ref="E101:E111" si="4">B101+C101</f>
        <v>0</v>
      </c>
      <c r="F101" s="13"/>
      <c r="G101" s="14">
        <f t="shared" ref="G101:G111" si="5">(E101)-(F101)</f>
        <v>0</v>
      </c>
      <c r="H101" s="6"/>
      <c r="I101" s="8"/>
    </row>
    <row r="102" spans="1:9" hidden="1" x14ac:dyDescent="0.35">
      <c r="A102" s="4" t="s">
        <v>112</v>
      </c>
      <c r="B102" s="6"/>
      <c r="C102" s="6"/>
      <c r="D102" s="8"/>
      <c r="E102" s="6">
        <f t="shared" si="4"/>
        <v>0</v>
      </c>
      <c r="F102" s="13"/>
      <c r="G102" s="14">
        <f t="shared" si="5"/>
        <v>0</v>
      </c>
      <c r="H102" s="6"/>
      <c r="I102" s="8"/>
    </row>
    <row r="103" spans="1:9" hidden="1" x14ac:dyDescent="0.35">
      <c r="A103" s="4" t="s">
        <v>113</v>
      </c>
      <c r="B103" s="6"/>
      <c r="C103" s="6"/>
      <c r="D103" s="8"/>
      <c r="E103" s="6">
        <f t="shared" si="4"/>
        <v>0</v>
      </c>
      <c r="F103" s="13"/>
      <c r="G103" s="14">
        <f t="shared" si="5"/>
        <v>0</v>
      </c>
      <c r="H103" s="6"/>
      <c r="I103" s="8"/>
    </row>
    <row r="104" spans="1:9" hidden="1" x14ac:dyDescent="0.35">
      <c r="A104" s="4" t="s">
        <v>114</v>
      </c>
      <c r="B104" s="6"/>
      <c r="C104" s="6"/>
      <c r="D104" s="8"/>
      <c r="E104" s="6">
        <f t="shared" si="4"/>
        <v>0</v>
      </c>
      <c r="F104" s="13"/>
      <c r="G104" s="14">
        <f t="shared" si="5"/>
        <v>0</v>
      </c>
      <c r="H104" s="6"/>
      <c r="I104" s="8"/>
    </row>
    <row r="105" spans="1:9" hidden="1" x14ac:dyDescent="0.35">
      <c r="A105" s="4" t="s">
        <v>115</v>
      </c>
      <c r="B105" s="6"/>
      <c r="C105" s="6"/>
      <c r="D105" s="8"/>
      <c r="E105" s="6">
        <f t="shared" si="4"/>
        <v>0</v>
      </c>
      <c r="F105" s="13"/>
      <c r="G105" s="14">
        <f t="shared" si="5"/>
        <v>0</v>
      </c>
      <c r="H105" s="6"/>
      <c r="I105" s="8"/>
    </row>
    <row r="106" spans="1:9" hidden="1" x14ac:dyDescent="0.35">
      <c r="A106" s="4" t="s">
        <v>116</v>
      </c>
      <c r="B106" s="6"/>
      <c r="C106" s="6"/>
      <c r="D106" s="8"/>
      <c r="E106" s="6">
        <f t="shared" si="4"/>
        <v>0</v>
      </c>
      <c r="F106" s="13"/>
      <c r="G106" s="14">
        <f t="shared" si="5"/>
        <v>0</v>
      </c>
      <c r="H106" s="6"/>
      <c r="I106" s="8"/>
    </row>
    <row r="107" spans="1:9" hidden="1" x14ac:dyDescent="0.35">
      <c r="A107" s="4" t="s">
        <v>117</v>
      </c>
      <c r="B107" s="6"/>
      <c r="C107" s="6"/>
      <c r="D107" s="8"/>
      <c r="E107" s="6">
        <f t="shared" si="4"/>
        <v>0</v>
      </c>
      <c r="F107" s="13"/>
      <c r="G107" s="14">
        <f t="shared" si="5"/>
        <v>0</v>
      </c>
      <c r="H107" s="6"/>
      <c r="I107" s="8"/>
    </row>
    <row r="108" spans="1:9" hidden="1" x14ac:dyDescent="0.35">
      <c r="A108" s="4" t="s">
        <v>118</v>
      </c>
      <c r="B108" s="6"/>
      <c r="C108" s="6"/>
      <c r="D108" s="8"/>
      <c r="E108" s="6">
        <f t="shared" si="4"/>
        <v>0</v>
      </c>
      <c r="F108" s="13"/>
      <c r="G108" s="14">
        <f t="shared" si="5"/>
        <v>0</v>
      </c>
      <c r="H108" s="6"/>
      <c r="I108" s="8"/>
    </row>
    <row r="109" spans="1:9" hidden="1" x14ac:dyDescent="0.35">
      <c r="A109" s="4" t="s">
        <v>119</v>
      </c>
      <c r="B109" s="6"/>
      <c r="C109" s="6"/>
      <c r="D109" s="8"/>
      <c r="E109" s="6">
        <f t="shared" si="4"/>
        <v>0</v>
      </c>
      <c r="F109" s="13"/>
      <c r="G109" s="14">
        <f t="shared" si="5"/>
        <v>0</v>
      </c>
      <c r="H109" s="6"/>
      <c r="I109" s="8"/>
    </row>
    <row r="110" spans="1:9" hidden="1" x14ac:dyDescent="0.35">
      <c r="A110" s="4" t="s">
        <v>120</v>
      </c>
      <c r="B110" s="6"/>
      <c r="C110" s="6"/>
      <c r="D110" s="8"/>
      <c r="E110" s="6">
        <f t="shared" si="4"/>
        <v>0</v>
      </c>
      <c r="F110" s="13"/>
      <c r="G110" s="14">
        <f t="shared" si="5"/>
        <v>0</v>
      </c>
      <c r="H110" s="6"/>
      <c r="I110" s="24"/>
    </row>
    <row r="111" spans="1:9" x14ac:dyDescent="0.35">
      <c r="A111" s="4" t="s">
        <v>29</v>
      </c>
      <c r="B111" s="7">
        <f>SUBTOTAL(9,B99:B110)</f>
        <v>124.26</v>
      </c>
      <c r="C111" s="7">
        <f>SUBTOTAL(9,C99:C110)</f>
        <v>0</v>
      </c>
      <c r="D111" s="7"/>
      <c r="E111" s="7">
        <f t="shared" si="4"/>
        <v>124.26</v>
      </c>
      <c r="F111" s="15">
        <f>SUBTOTAL(9,F99:F110)</f>
        <v>0</v>
      </c>
      <c r="G111" s="16">
        <f t="shared" si="5"/>
        <v>124.26</v>
      </c>
      <c r="H111" s="7">
        <f>SUBTOTAL(9,H99:H110)</f>
        <v>33589.22</v>
      </c>
      <c r="I111" s="24"/>
    </row>
    <row r="112" spans="1:9" hidden="1" x14ac:dyDescent="0.35">
      <c r="A112" s="4" t="s">
        <v>65</v>
      </c>
      <c r="B112" s="6"/>
      <c r="C112" s="6"/>
      <c r="D112" s="8"/>
      <c r="E112" s="6">
        <f t="shared" si="2"/>
        <v>0</v>
      </c>
      <c r="F112" s="13"/>
      <c r="G112" s="14">
        <f t="shared" si="3"/>
        <v>0</v>
      </c>
      <c r="H112" s="6"/>
      <c r="I112" s="8"/>
    </row>
    <row r="113" spans="1:9" hidden="1" x14ac:dyDescent="0.35">
      <c r="A113" s="4" t="s">
        <v>38</v>
      </c>
      <c r="B113" s="6"/>
      <c r="C113" s="6"/>
      <c r="D113" s="8"/>
      <c r="E113" s="6">
        <f t="shared" si="2"/>
        <v>0</v>
      </c>
      <c r="F113" s="13">
        <f>0</f>
        <v>0</v>
      </c>
      <c r="G113" s="14">
        <f t="shared" si="3"/>
        <v>0</v>
      </c>
      <c r="H113" s="6"/>
      <c r="I113" s="24"/>
    </row>
    <row r="114" spans="1:9" hidden="1" x14ac:dyDescent="0.35">
      <c r="A114" s="4" t="s">
        <v>66</v>
      </c>
      <c r="B114" s="7">
        <f>(B112)+(B113)</f>
        <v>0</v>
      </c>
      <c r="C114" s="7">
        <f>(C112)+(C113)</f>
        <v>0</v>
      </c>
      <c r="D114" s="7"/>
      <c r="E114" s="7">
        <f t="shared" si="2"/>
        <v>0</v>
      </c>
      <c r="F114" s="15">
        <f>(F112)+(F113)</f>
        <v>0</v>
      </c>
      <c r="G114" s="16">
        <f t="shared" si="3"/>
        <v>0</v>
      </c>
      <c r="H114" s="7">
        <f>(H112)+(H113)</f>
        <v>0</v>
      </c>
      <c r="I114" s="24"/>
    </row>
    <row r="115" spans="1:9" x14ac:dyDescent="0.35">
      <c r="A115" s="4" t="s">
        <v>67</v>
      </c>
      <c r="B115" s="7">
        <f>(((((B74)+(B75))+(B81))+(B97))+(B111))+(B114)</f>
        <v>11515.6</v>
      </c>
      <c r="C115" s="7">
        <f>(((((C74)+(C75))+(C81))+(C97))+(C111))+(C114)</f>
        <v>0</v>
      </c>
      <c r="D115" s="7"/>
      <c r="E115" s="7">
        <f t="shared" si="2"/>
        <v>11515.6</v>
      </c>
      <c r="F115" s="15">
        <f>(((((F74)+(F75))+(F81))+(F97))+(F111))+(F114)</f>
        <v>0</v>
      </c>
      <c r="G115" s="16">
        <f t="shared" si="3"/>
        <v>11515.6</v>
      </c>
      <c r="H115" s="7">
        <f>(((((H74)+(H75))+(H81))+(H97))+(H111))+(H114)</f>
        <v>49569.73</v>
      </c>
      <c r="I115" s="24"/>
    </row>
    <row r="116" spans="1:9" x14ac:dyDescent="0.35">
      <c r="A116" s="4" t="s">
        <v>68</v>
      </c>
      <c r="B116" s="6"/>
      <c r="C116" s="6"/>
      <c r="D116" s="8"/>
      <c r="E116" s="6">
        <f t="shared" si="2"/>
        <v>0</v>
      </c>
      <c r="F116" s="13"/>
      <c r="G116" s="14">
        <f t="shared" si="3"/>
        <v>0</v>
      </c>
      <c r="H116" s="6"/>
      <c r="I116" s="8"/>
    </row>
    <row r="117" spans="1:9" x14ac:dyDescent="0.35">
      <c r="A117" s="4" t="s">
        <v>180</v>
      </c>
      <c r="B117" s="6"/>
      <c r="C117" s="6"/>
      <c r="D117" s="8"/>
      <c r="E117" s="6">
        <f t="shared" si="2"/>
        <v>0</v>
      </c>
      <c r="F117" s="13">
        <f>1350</f>
        <v>1350</v>
      </c>
      <c r="G117" s="14">
        <f t="shared" si="3"/>
        <v>-1350</v>
      </c>
      <c r="H117" s="6">
        <v>1260</v>
      </c>
      <c r="I117" s="8"/>
    </row>
    <row r="118" spans="1:9" x14ac:dyDescent="0.35">
      <c r="A118" s="4" t="s">
        <v>181</v>
      </c>
      <c r="B118" s="6"/>
      <c r="C118" s="6"/>
      <c r="D118" s="8"/>
      <c r="E118" s="6">
        <f t="shared" si="2"/>
        <v>0</v>
      </c>
      <c r="F118" s="13">
        <v>0</v>
      </c>
      <c r="G118" s="14">
        <f t="shared" si="3"/>
        <v>0</v>
      </c>
      <c r="H118" s="6">
        <v>700</v>
      </c>
      <c r="I118" s="8"/>
    </row>
    <row r="119" spans="1:9" x14ac:dyDescent="0.35">
      <c r="A119" s="4" t="s">
        <v>162</v>
      </c>
      <c r="B119" s="6">
        <v>588</v>
      </c>
      <c r="C119" s="6"/>
      <c r="D119" s="8"/>
      <c r="E119" s="6">
        <f t="shared" si="2"/>
        <v>588</v>
      </c>
      <c r="F119" s="13">
        <v>0</v>
      </c>
      <c r="G119" s="14">
        <f t="shared" si="3"/>
        <v>588</v>
      </c>
      <c r="H119" s="6">
        <v>800</v>
      </c>
      <c r="I119" s="8"/>
    </row>
    <row r="120" spans="1:9" hidden="1" x14ac:dyDescent="0.35">
      <c r="A120" s="4" t="s">
        <v>69</v>
      </c>
      <c r="B120" s="6"/>
      <c r="C120" s="6"/>
      <c r="D120" s="8"/>
      <c r="E120" s="6">
        <f t="shared" si="2"/>
        <v>0</v>
      </c>
      <c r="F120" s="13">
        <f>0</f>
        <v>0</v>
      </c>
      <c r="G120" s="14">
        <f t="shared" si="3"/>
        <v>0</v>
      </c>
      <c r="H120" s="6">
        <v>0</v>
      </c>
      <c r="I120" s="8"/>
    </row>
    <row r="121" spans="1:9" x14ac:dyDescent="0.35">
      <c r="A121" s="4" t="s">
        <v>163</v>
      </c>
      <c r="B121" s="6">
        <v>850</v>
      </c>
      <c r="C121" s="6"/>
      <c r="D121" s="8"/>
      <c r="E121" s="6">
        <f t="shared" si="2"/>
        <v>850</v>
      </c>
      <c r="F121" s="13"/>
      <c r="G121" s="14">
        <f t="shared" si="3"/>
        <v>850</v>
      </c>
      <c r="H121" s="6"/>
      <c r="I121" s="8"/>
    </row>
    <row r="122" spans="1:9" x14ac:dyDescent="0.35">
      <c r="A122" s="4" t="s">
        <v>182</v>
      </c>
      <c r="B122" s="6"/>
      <c r="C122" s="6"/>
      <c r="D122" s="8"/>
      <c r="E122" s="6">
        <f t="shared" si="2"/>
        <v>0</v>
      </c>
      <c r="F122" s="13">
        <f>30000</f>
        <v>30000</v>
      </c>
      <c r="G122" s="14">
        <f t="shared" si="3"/>
        <v>-30000</v>
      </c>
      <c r="H122" s="6">
        <v>2000</v>
      </c>
      <c r="I122" s="8"/>
    </row>
    <row r="123" spans="1:9" x14ac:dyDescent="0.35">
      <c r="A123" s="4" t="s">
        <v>183</v>
      </c>
      <c r="B123" s="6"/>
      <c r="C123" s="6">
        <v>80000</v>
      </c>
      <c r="D123" s="9" t="s">
        <v>184</v>
      </c>
      <c r="E123" s="6">
        <f t="shared" si="2"/>
        <v>80000</v>
      </c>
      <c r="F123" s="13">
        <f>80000</f>
        <v>80000</v>
      </c>
      <c r="G123" s="14">
        <f t="shared" si="3"/>
        <v>0</v>
      </c>
      <c r="H123" s="6">
        <v>152000</v>
      </c>
      <c r="I123" s="9" t="s">
        <v>184</v>
      </c>
    </row>
    <row r="124" spans="1:9" hidden="1" x14ac:dyDescent="0.35">
      <c r="A124" s="4" t="s">
        <v>70</v>
      </c>
      <c r="B124" s="6"/>
      <c r="C124" s="6"/>
      <c r="D124" s="8"/>
      <c r="E124" s="6">
        <f t="shared" si="2"/>
        <v>0</v>
      </c>
      <c r="F124" s="13">
        <f>0</f>
        <v>0</v>
      </c>
      <c r="G124" s="14">
        <f t="shared" si="3"/>
        <v>0</v>
      </c>
      <c r="H124" s="6">
        <v>0</v>
      </c>
      <c r="I124" s="8"/>
    </row>
    <row r="125" spans="1:9" hidden="1" x14ac:dyDescent="0.35">
      <c r="A125" s="4" t="s">
        <v>71</v>
      </c>
      <c r="B125" s="6"/>
      <c r="C125" s="6"/>
      <c r="D125" s="8"/>
      <c r="E125" s="6">
        <f t="shared" si="2"/>
        <v>0</v>
      </c>
      <c r="F125" s="13">
        <f>0</f>
        <v>0</v>
      </c>
      <c r="G125" s="14">
        <f t="shared" si="3"/>
        <v>0</v>
      </c>
      <c r="H125" s="6">
        <v>0</v>
      </c>
      <c r="I125" s="8"/>
    </row>
    <row r="126" spans="1:9" hidden="1" x14ac:dyDescent="0.35">
      <c r="A126" s="4" t="s">
        <v>72</v>
      </c>
      <c r="B126" s="6"/>
      <c r="C126" s="6"/>
      <c r="D126" s="8"/>
      <c r="E126" s="6">
        <f t="shared" si="2"/>
        <v>0</v>
      </c>
      <c r="F126" s="13">
        <f>0</f>
        <v>0</v>
      </c>
      <c r="G126" s="14">
        <f t="shared" si="3"/>
        <v>0</v>
      </c>
      <c r="H126" s="6">
        <v>0</v>
      </c>
      <c r="I126" s="8"/>
    </row>
    <row r="127" spans="1:9" x14ac:dyDescent="0.35">
      <c r="A127" s="4" t="s">
        <v>73</v>
      </c>
      <c r="B127" s="6">
        <v>43000</v>
      </c>
      <c r="C127" s="6"/>
      <c r="D127" s="8"/>
      <c r="E127" s="6">
        <f t="shared" si="2"/>
        <v>43000</v>
      </c>
      <c r="F127" s="13">
        <f>45000</f>
        <v>45000</v>
      </c>
      <c r="G127" s="14">
        <f t="shared" si="3"/>
        <v>-2000</v>
      </c>
      <c r="H127" s="6">
        <v>43000</v>
      </c>
      <c r="I127" s="8"/>
    </row>
    <row r="128" spans="1:9" x14ac:dyDescent="0.35">
      <c r="A128" s="4" t="s">
        <v>74</v>
      </c>
      <c r="B128" s="6">
        <v>97.35</v>
      </c>
      <c r="C128" s="6"/>
      <c r="D128" s="8"/>
      <c r="E128" s="6">
        <f t="shared" si="2"/>
        <v>97.35</v>
      </c>
      <c r="F128" s="13">
        <f>5000</f>
        <v>5000</v>
      </c>
      <c r="G128" s="14">
        <f t="shared" si="3"/>
        <v>-4902.6499999999996</v>
      </c>
      <c r="H128" s="6">
        <f>963.78+653.14</f>
        <v>1616.92</v>
      </c>
      <c r="I128" s="8"/>
    </row>
    <row r="129" spans="1:9" x14ac:dyDescent="0.35">
      <c r="A129" s="4" t="s">
        <v>185</v>
      </c>
      <c r="B129" s="6"/>
      <c r="C129" s="6"/>
      <c r="D129" s="8"/>
      <c r="E129" s="6">
        <f t="shared" si="2"/>
        <v>0</v>
      </c>
      <c r="F129" s="13">
        <v>0</v>
      </c>
      <c r="G129" s="14">
        <f t="shared" si="3"/>
        <v>0</v>
      </c>
      <c r="H129" s="6">
        <v>1500</v>
      </c>
      <c r="I129" s="8"/>
    </row>
    <row r="130" spans="1:9" x14ac:dyDescent="0.35">
      <c r="A130" s="4" t="s">
        <v>75</v>
      </c>
      <c r="B130" s="6">
        <v>2385</v>
      </c>
      <c r="C130" s="6"/>
      <c r="D130" s="8"/>
      <c r="E130" s="6">
        <f t="shared" si="2"/>
        <v>2385</v>
      </c>
      <c r="F130" s="13">
        <f>20000</f>
        <v>20000</v>
      </c>
      <c r="G130" s="14">
        <f t="shared" si="3"/>
        <v>-17615</v>
      </c>
      <c r="H130" s="6">
        <v>19998.18</v>
      </c>
      <c r="I130" s="8"/>
    </row>
    <row r="131" spans="1:9" hidden="1" x14ac:dyDescent="0.35">
      <c r="A131" s="4" t="s">
        <v>186</v>
      </c>
      <c r="B131" s="6"/>
      <c r="C131" s="6"/>
      <c r="D131" s="8"/>
      <c r="E131" s="6">
        <f t="shared" si="2"/>
        <v>0</v>
      </c>
      <c r="F131" s="13">
        <f>0</f>
        <v>0</v>
      </c>
      <c r="G131" s="14">
        <f t="shared" si="3"/>
        <v>0</v>
      </c>
      <c r="H131" s="6">
        <v>0</v>
      </c>
      <c r="I131" s="8"/>
    </row>
    <row r="132" spans="1:9" hidden="1" x14ac:dyDescent="0.35">
      <c r="A132" s="4" t="s">
        <v>187</v>
      </c>
      <c r="B132" s="6"/>
      <c r="C132" s="6"/>
      <c r="D132" s="8"/>
      <c r="E132" s="6">
        <f t="shared" si="2"/>
        <v>0</v>
      </c>
      <c r="F132" s="13">
        <f>0</f>
        <v>0</v>
      </c>
      <c r="G132" s="14">
        <f t="shared" si="3"/>
        <v>0</v>
      </c>
      <c r="H132" s="6">
        <v>0</v>
      </c>
      <c r="I132" s="8"/>
    </row>
    <row r="133" spans="1:9" hidden="1" x14ac:dyDescent="0.35">
      <c r="A133" s="4" t="s">
        <v>76</v>
      </c>
      <c r="B133" s="6"/>
      <c r="C133" s="6"/>
      <c r="D133" s="8"/>
      <c r="E133" s="6">
        <f t="shared" si="2"/>
        <v>0</v>
      </c>
      <c r="F133" s="13">
        <f>0</f>
        <v>0</v>
      </c>
      <c r="G133" s="14">
        <f t="shared" si="3"/>
        <v>0</v>
      </c>
      <c r="H133" s="6">
        <v>0</v>
      </c>
      <c r="I133" s="8"/>
    </row>
    <row r="134" spans="1:9" x14ac:dyDescent="0.35">
      <c r="A134" s="4" t="s">
        <v>188</v>
      </c>
      <c r="B134" s="6"/>
      <c r="C134" s="6"/>
      <c r="D134" s="8"/>
      <c r="E134" s="6">
        <f t="shared" si="2"/>
        <v>0</v>
      </c>
      <c r="F134" s="13">
        <f>3000</f>
        <v>3000</v>
      </c>
      <c r="G134" s="14">
        <f t="shared" si="3"/>
        <v>-3000</v>
      </c>
      <c r="H134" s="6">
        <v>3000</v>
      </c>
      <c r="I134" s="8"/>
    </row>
    <row r="135" spans="1:9" x14ac:dyDescent="0.35">
      <c r="A135" s="4" t="s">
        <v>77</v>
      </c>
      <c r="B135" s="6"/>
      <c r="C135" s="6"/>
      <c r="D135" s="8"/>
      <c r="E135" s="6">
        <f t="shared" si="2"/>
        <v>0</v>
      </c>
      <c r="F135" s="13">
        <f>5000</f>
        <v>5000</v>
      </c>
      <c r="G135" s="14">
        <f t="shared" si="3"/>
        <v>-5000</v>
      </c>
      <c r="H135" s="6">
        <v>1084.3499999999999</v>
      </c>
      <c r="I135" s="8"/>
    </row>
    <row r="136" spans="1:9" hidden="1" x14ac:dyDescent="0.35">
      <c r="A136" s="4" t="s">
        <v>78</v>
      </c>
      <c r="B136" s="6"/>
      <c r="C136" s="6"/>
      <c r="D136" s="8"/>
      <c r="E136" s="6">
        <f t="shared" si="2"/>
        <v>0</v>
      </c>
      <c r="F136" s="13">
        <f>0</f>
        <v>0</v>
      </c>
      <c r="G136" s="14">
        <f t="shared" si="3"/>
        <v>0</v>
      </c>
      <c r="H136" s="6">
        <v>0</v>
      </c>
      <c r="I136" s="8"/>
    </row>
    <row r="137" spans="1:9" x14ac:dyDescent="0.35">
      <c r="A137" s="4" t="s">
        <v>79</v>
      </c>
      <c r="B137" s="6"/>
      <c r="C137" s="6"/>
      <c r="D137" s="8"/>
      <c r="E137" s="6">
        <f t="shared" si="2"/>
        <v>0</v>
      </c>
      <c r="F137" s="13">
        <f>5000</f>
        <v>5000</v>
      </c>
      <c r="G137" s="14">
        <f t="shared" si="3"/>
        <v>-5000</v>
      </c>
      <c r="H137" s="6">
        <v>3710</v>
      </c>
      <c r="I137" s="8"/>
    </row>
    <row r="138" spans="1:9" x14ac:dyDescent="0.35">
      <c r="A138" s="4" t="s">
        <v>80</v>
      </c>
      <c r="B138" s="6"/>
      <c r="C138" s="6"/>
      <c r="D138" s="8"/>
      <c r="E138" s="6">
        <f t="shared" si="2"/>
        <v>0</v>
      </c>
      <c r="F138" s="13">
        <f>0</f>
        <v>0</v>
      </c>
      <c r="G138" s="14">
        <f t="shared" si="3"/>
        <v>0</v>
      </c>
      <c r="H138" s="6">
        <v>500</v>
      </c>
      <c r="I138" s="8"/>
    </row>
    <row r="139" spans="1:9" x14ac:dyDescent="0.35">
      <c r="A139" s="4" t="s">
        <v>81</v>
      </c>
      <c r="B139" s="6"/>
      <c r="C139" s="6"/>
      <c r="D139" s="8"/>
      <c r="E139" s="6">
        <f t="shared" si="2"/>
        <v>0</v>
      </c>
      <c r="F139" s="13">
        <f>2000</f>
        <v>2000</v>
      </c>
      <c r="G139" s="14">
        <f t="shared" si="3"/>
        <v>-2000</v>
      </c>
      <c r="H139" s="6">
        <v>0</v>
      </c>
      <c r="I139" s="8"/>
    </row>
    <row r="140" spans="1:9" hidden="1" x14ac:dyDescent="0.35">
      <c r="A140" s="4" t="s">
        <v>82</v>
      </c>
      <c r="B140" s="6"/>
      <c r="C140" s="6"/>
      <c r="D140" s="8"/>
      <c r="E140" s="6">
        <f t="shared" si="2"/>
        <v>0</v>
      </c>
      <c r="F140" s="13">
        <f>0</f>
        <v>0</v>
      </c>
      <c r="G140" s="14">
        <f t="shared" si="3"/>
        <v>0</v>
      </c>
      <c r="H140" s="6">
        <v>0</v>
      </c>
      <c r="I140" s="8"/>
    </row>
    <row r="141" spans="1:9" hidden="1" x14ac:dyDescent="0.35">
      <c r="A141" s="4" t="s">
        <v>83</v>
      </c>
      <c r="B141" s="6"/>
      <c r="C141" s="6"/>
      <c r="D141" s="8"/>
      <c r="E141" s="6">
        <f t="shared" si="2"/>
        <v>0</v>
      </c>
      <c r="F141" s="13">
        <f>0</f>
        <v>0</v>
      </c>
      <c r="G141" s="14">
        <f t="shared" si="3"/>
        <v>0</v>
      </c>
      <c r="H141" s="6">
        <v>0</v>
      </c>
      <c r="I141" s="8"/>
    </row>
    <row r="142" spans="1:9" x14ac:dyDescent="0.35">
      <c r="A142" s="4" t="s">
        <v>84</v>
      </c>
      <c r="B142" s="6"/>
      <c r="C142" s="6"/>
      <c r="D142" s="8"/>
      <c r="E142" s="6">
        <f t="shared" si="2"/>
        <v>0</v>
      </c>
      <c r="F142" s="13">
        <f>0</f>
        <v>0</v>
      </c>
      <c r="G142" s="14">
        <f t="shared" si="3"/>
        <v>0</v>
      </c>
      <c r="H142" s="6">
        <v>40000</v>
      </c>
      <c r="I142" s="8"/>
    </row>
    <row r="143" spans="1:9" hidden="1" x14ac:dyDescent="0.35">
      <c r="A143" s="4" t="s">
        <v>85</v>
      </c>
      <c r="B143" s="6"/>
      <c r="C143" s="6"/>
      <c r="D143" s="8"/>
      <c r="E143" s="6">
        <f t="shared" si="2"/>
        <v>0</v>
      </c>
      <c r="F143" s="13">
        <f>0</f>
        <v>0</v>
      </c>
      <c r="G143" s="14">
        <f t="shared" si="3"/>
        <v>0</v>
      </c>
      <c r="H143" s="6">
        <v>0</v>
      </c>
      <c r="I143" s="8"/>
    </row>
    <row r="144" spans="1:9" x14ac:dyDescent="0.35">
      <c r="A144" s="4" t="s">
        <v>168</v>
      </c>
      <c r="B144" s="6"/>
      <c r="C144" s="6">
        <v>19000</v>
      </c>
      <c r="D144" s="8" t="s">
        <v>184</v>
      </c>
      <c r="E144" s="6">
        <f t="shared" si="2"/>
        <v>19000</v>
      </c>
      <c r="F144" s="13">
        <f>19000</f>
        <v>19000</v>
      </c>
      <c r="G144" s="14">
        <f t="shared" si="3"/>
        <v>0</v>
      </c>
      <c r="H144" s="6">
        <v>19000</v>
      </c>
      <c r="I144" s="8" t="s">
        <v>184</v>
      </c>
    </row>
    <row r="145" spans="1:9" x14ac:dyDescent="0.35">
      <c r="A145" s="4" t="s">
        <v>164</v>
      </c>
      <c r="B145" s="6">
        <v>300</v>
      </c>
      <c r="C145" s="6"/>
      <c r="D145" s="8"/>
      <c r="E145" s="6">
        <f t="shared" si="2"/>
        <v>300</v>
      </c>
      <c r="F145" s="13">
        <v>0</v>
      </c>
      <c r="G145" s="14">
        <f t="shared" si="3"/>
        <v>300</v>
      </c>
      <c r="H145" s="6">
        <v>5097.5</v>
      </c>
      <c r="I145" s="8"/>
    </row>
    <row r="146" spans="1:9" x14ac:dyDescent="0.35">
      <c r="A146" s="4" t="s">
        <v>139</v>
      </c>
      <c r="B146" s="6">
        <v>210.02</v>
      </c>
      <c r="C146" s="6"/>
      <c r="D146" s="8"/>
      <c r="E146" s="6">
        <f t="shared" si="2"/>
        <v>210.02</v>
      </c>
      <c r="F146" s="13">
        <f>0</f>
        <v>0</v>
      </c>
      <c r="G146" s="14">
        <f t="shared" si="3"/>
        <v>210.02</v>
      </c>
      <c r="H146" s="6">
        <v>0</v>
      </c>
      <c r="I146" s="8"/>
    </row>
    <row r="147" spans="1:9" x14ac:dyDescent="0.35">
      <c r="A147" s="4" t="s">
        <v>131</v>
      </c>
      <c r="B147" s="6">
        <v>911.6</v>
      </c>
      <c r="C147" s="6"/>
      <c r="D147" s="8"/>
      <c r="E147" s="6">
        <f t="shared" si="2"/>
        <v>911.6</v>
      </c>
      <c r="F147" s="13">
        <f>0</f>
        <v>0</v>
      </c>
      <c r="G147" s="14">
        <f t="shared" si="3"/>
        <v>911.6</v>
      </c>
      <c r="H147" s="6">
        <v>0</v>
      </c>
      <c r="I147" s="8"/>
    </row>
    <row r="148" spans="1:9" x14ac:dyDescent="0.35">
      <c r="A148" s="4" t="s">
        <v>121</v>
      </c>
      <c r="B148" s="6">
        <v>679.22</v>
      </c>
      <c r="C148" s="6"/>
      <c r="D148" s="8"/>
      <c r="E148" s="6">
        <f>B148+C148</f>
        <v>679.22</v>
      </c>
      <c r="F148" s="13">
        <f>0</f>
        <v>0</v>
      </c>
      <c r="G148" s="14">
        <f>(E148)-(F148)</f>
        <v>679.22</v>
      </c>
      <c r="H148" s="6">
        <v>1387</v>
      </c>
      <c r="I148" s="8"/>
    </row>
    <row r="149" spans="1:9" x14ac:dyDescent="0.35">
      <c r="A149" s="4" t="s">
        <v>189</v>
      </c>
      <c r="B149" s="6">
        <f>4275+100</f>
        <v>4375</v>
      </c>
      <c r="C149" s="6"/>
      <c r="D149" s="8"/>
      <c r="E149" s="6">
        <f t="shared" si="2"/>
        <v>4375</v>
      </c>
      <c r="F149" s="13">
        <f>0</f>
        <v>0</v>
      </c>
      <c r="G149" s="14">
        <f t="shared" si="3"/>
        <v>4375</v>
      </c>
      <c r="H149" s="6">
        <v>0</v>
      </c>
      <c r="I149" s="8"/>
    </row>
    <row r="150" spans="1:9" hidden="1" x14ac:dyDescent="0.35">
      <c r="A150" s="4" t="s">
        <v>86</v>
      </c>
      <c r="B150" s="6"/>
      <c r="C150" s="6"/>
      <c r="D150" s="8"/>
      <c r="E150" s="6">
        <f t="shared" si="2"/>
        <v>0</v>
      </c>
      <c r="F150" s="13">
        <f>0</f>
        <v>0</v>
      </c>
      <c r="G150" s="14">
        <f t="shared" si="3"/>
        <v>0</v>
      </c>
      <c r="H150" s="6">
        <v>0</v>
      </c>
      <c r="I150" s="8"/>
    </row>
    <row r="151" spans="1:9" x14ac:dyDescent="0.35">
      <c r="A151" s="4" t="s">
        <v>87</v>
      </c>
      <c r="B151" s="6">
        <v>12991</v>
      </c>
      <c r="C151" s="6"/>
      <c r="D151" s="8"/>
      <c r="E151" s="6">
        <f t="shared" si="2"/>
        <v>12991</v>
      </c>
      <c r="F151" s="13">
        <f>13000</f>
        <v>13000</v>
      </c>
      <c r="G151" s="14">
        <f t="shared" si="3"/>
        <v>-9</v>
      </c>
      <c r="H151" s="6">
        <v>12991.82</v>
      </c>
      <c r="I151" s="8"/>
    </row>
    <row r="152" spans="1:9" hidden="1" x14ac:dyDescent="0.35">
      <c r="A152" s="4" t="s">
        <v>190</v>
      </c>
      <c r="B152" s="6"/>
      <c r="C152" s="6"/>
      <c r="D152" s="8"/>
      <c r="E152" s="6">
        <f t="shared" si="2"/>
        <v>0</v>
      </c>
      <c r="F152" s="13">
        <f>13000</f>
        <v>13000</v>
      </c>
      <c r="G152" s="14">
        <f t="shared" si="3"/>
        <v>-13000</v>
      </c>
      <c r="H152" s="6">
        <v>12992.82</v>
      </c>
      <c r="I152" s="8"/>
    </row>
    <row r="153" spans="1:9" x14ac:dyDescent="0.35">
      <c r="A153" s="4" t="s">
        <v>160</v>
      </c>
      <c r="B153" s="6">
        <v>685</v>
      </c>
      <c r="C153" s="6"/>
      <c r="D153" s="8"/>
      <c r="E153" s="6">
        <f t="shared" si="2"/>
        <v>685</v>
      </c>
      <c r="F153" s="13">
        <f>13000</f>
        <v>13000</v>
      </c>
      <c r="G153" s="14">
        <f t="shared" si="3"/>
        <v>-12315</v>
      </c>
      <c r="H153" s="6">
        <v>12993.82</v>
      </c>
      <c r="I153" s="8"/>
    </row>
    <row r="154" spans="1:9" x14ac:dyDescent="0.35">
      <c r="A154" s="4" t="s">
        <v>127</v>
      </c>
      <c r="B154" s="6">
        <v>774.28</v>
      </c>
      <c r="C154" s="6"/>
      <c r="D154" s="8"/>
      <c r="E154" s="6">
        <f t="shared" si="2"/>
        <v>774.28</v>
      </c>
      <c r="F154" s="13">
        <v>0</v>
      </c>
      <c r="G154" s="14">
        <f t="shared" si="3"/>
        <v>774.28</v>
      </c>
      <c r="H154" s="6">
        <v>0</v>
      </c>
      <c r="I154" s="8"/>
    </row>
    <row r="155" spans="1:9" x14ac:dyDescent="0.35">
      <c r="A155" s="4" t="s">
        <v>88</v>
      </c>
      <c r="B155" s="6"/>
      <c r="C155" s="6"/>
      <c r="D155" s="8"/>
      <c r="E155" s="6">
        <f t="shared" si="2"/>
        <v>0</v>
      </c>
      <c r="F155" s="13">
        <f>5000</f>
        <v>5000</v>
      </c>
      <c r="G155" s="14">
        <f t="shared" si="3"/>
        <v>-5000</v>
      </c>
      <c r="H155" s="6">
        <v>0</v>
      </c>
      <c r="I155" s="8"/>
    </row>
    <row r="156" spans="1:9" x14ac:dyDescent="0.35">
      <c r="A156" s="4" t="s">
        <v>122</v>
      </c>
      <c r="B156" s="6">
        <v>291.62</v>
      </c>
      <c r="C156" s="6"/>
      <c r="D156" s="8"/>
      <c r="E156" s="6">
        <f t="shared" si="2"/>
        <v>291.62</v>
      </c>
      <c r="F156" s="13">
        <v>0</v>
      </c>
      <c r="G156" s="14">
        <f t="shared" si="3"/>
        <v>291.62</v>
      </c>
      <c r="H156" s="6">
        <v>785</v>
      </c>
      <c r="I156" s="8"/>
    </row>
    <row r="157" spans="1:9" x14ac:dyDescent="0.35">
      <c r="A157" s="4" t="s">
        <v>136</v>
      </c>
      <c r="B157" s="6">
        <v>1000</v>
      </c>
      <c r="C157" s="6"/>
      <c r="D157" s="8"/>
      <c r="E157" s="6"/>
      <c r="F157" s="13">
        <v>0</v>
      </c>
      <c r="G157" s="14">
        <f t="shared" si="3"/>
        <v>0</v>
      </c>
      <c r="H157" s="6">
        <v>0</v>
      </c>
      <c r="I157" s="8"/>
    </row>
    <row r="158" spans="1:9" x14ac:dyDescent="0.35">
      <c r="A158" s="4" t="s">
        <v>89</v>
      </c>
      <c r="B158" s="6">
        <v>7015.87</v>
      </c>
      <c r="C158" s="6"/>
      <c r="D158" s="8"/>
      <c r="E158" s="6">
        <f t="shared" si="2"/>
        <v>7015.87</v>
      </c>
      <c r="F158" s="13">
        <f>8000</f>
        <v>8000</v>
      </c>
      <c r="G158" s="14">
        <f t="shared" si="3"/>
        <v>-984.13000000000011</v>
      </c>
      <c r="H158" s="6">
        <v>3420.84</v>
      </c>
      <c r="I158" s="8"/>
    </row>
    <row r="159" spans="1:9" x14ac:dyDescent="0.35">
      <c r="A159" s="4" t="s">
        <v>90</v>
      </c>
      <c r="B159" s="6">
        <v>4500</v>
      </c>
      <c r="C159" s="6"/>
      <c r="D159" s="8"/>
      <c r="E159" s="6">
        <f t="shared" si="2"/>
        <v>4500</v>
      </c>
      <c r="F159" s="13">
        <f>4500</f>
        <v>4500</v>
      </c>
      <c r="G159" s="14">
        <f t="shared" si="3"/>
        <v>0</v>
      </c>
      <c r="H159" s="6">
        <f>18934.8</f>
        <v>18934.8</v>
      </c>
      <c r="I159" s="8"/>
    </row>
    <row r="160" spans="1:9" hidden="1" x14ac:dyDescent="0.35">
      <c r="A160" s="4" t="s">
        <v>91</v>
      </c>
      <c r="B160" s="6"/>
      <c r="C160" s="6"/>
      <c r="D160" s="8"/>
      <c r="E160" s="6">
        <f t="shared" si="2"/>
        <v>0</v>
      </c>
      <c r="F160" s="13">
        <f>0</f>
        <v>0</v>
      </c>
      <c r="G160" s="14">
        <f t="shared" si="3"/>
        <v>0</v>
      </c>
      <c r="H160" s="6">
        <v>0</v>
      </c>
      <c r="I160" s="8"/>
    </row>
    <row r="161" spans="1:9" x14ac:dyDescent="0.35">
      <c r="A161" s="4" t="s">
        <v>92</v>
      </c>
      <c r="B161" s="6">
        <f>2380</f>
        <v>2380</v>
      </c>
      <c r="C161" s="6"/>
      <c r="D161" s="8"/>
      <c r="E161" s="6">
        <f t="shared" si="2"/>
        <v>2380</v>
      </c>
      <c r="F161" s="13">
        <f>2000</f>
        <v>2000</v>
      </c>
      <c r="G161" s="14">
        <f t="shared" si="3"/>
        <v>380</v>
      </c>
      <c r="H161" s="6">
        <f>1964.4</f>
        <v>1964.4</v>
      </c>
      <c r="I161" s="8"/>
    </row>
    <row r="162" spans="1:9" x14ac:dyDescent="0.35">
      <c r="A162" s="4" t="s">
        <v>93</v>
      </c>
      <c r="B162" s="6"/>
      <c r="C162" s="6"/>
      <c r="D162" s="8"/>
      <c r="E162" s="6">
        <f t="shared" si="2"/>
        <v>0</v>
      </c>
      <c r="F162" s="13">
        <f>2500</f>
        <v>2500</v>
      </c>
      <c r="G162" s="14">
        <f t="shared" si="3"/>
        <v>-2500</v>
      </c>
      <c r="H162" s="6">
        <f>2327.73</f>
        <v>2327.73</v>
      </c>
      <c r="I162" s="8"/>
    </row>
    <row r="163" spans="1:9" hidden="1" x14ac:dyDescent="0.35">
      <c r="A163" s="4" t="s">
        <v>94</v>
      </c>
      <c r="B163" s="6"/>
      <c r="C163" s="6"/>
      <c r="D163" s="8"/>
      <c r="E163" s="6">
        <f t="shared" si="2"/>
        <v>0</v>
      </c>
      <c r="F163" s="13">
        <f>0</f>
        <v>0</v>
      </c>
      <c r="G163" s="14">
        <f t="shared" si="3"/>
        <v>0</v>
      </c>
      <c r="H163" s="6">
        <v>0</v>
      </c>
      <c r="I163" s="8"/>
    </row>
    <row r="164" spans="1:9" hidden="1" x14ac:dyDescent="0.35">
      <c r="A164" s="4" t="s">
        <v>95</v>
      </c>
      <c r="B164" s="6"/>
      <c r="C164" s="6"/>
      <c r="D164" s="8"/>
      <c r="E164" s="6">
        <f t="shared" si="2"/>
        <v>0</v>
      </c>
      <c r="F164" s="13">
        <f>0</f>
        <v>0</v>
      </c>
      <c r="G164" s="14">
        <f t="shared" si="3"/>
        <v>0</v>
      </c>
      <c r="H164" s="6">
        <v>0</v>
      </c>
      <c r="I164" s="8"/>
    </row>
    <row r="165" spans="1:9" x14ac:dyDescent="0.35">
      <c r="A165" s="4" t="s">
        <v>96</v>
      </c>
      <c r="B165" s="6"/>
      <c r="C165" s="6"/>
      <c r="D165" s="8"/>
      <c r="E165" s="6">
        <f t="shared" si="2"/>
        <v>0</v>
      </c>
      <c r="F165" s="13">
        <f>200</f>
        <v>200</v>
      </c>
      <c r="G165" s="14">
        <f t="shared" si="3"/>
        <v>-200</v>
      </c>
      <c r="H165" s="6">
        <v>0</v>
      </c>
      <c r="I165" s="8"/>
    </row>
    <row r="166" spans="1:9" x14ac:dyDescent="0.35">
      <c r="A166" s="4" t="s">
        <v>97</v>
      </c>
      <c r="B166" s="6">
        <v>21180</v>
      </c>
      <c r="C166" s="6"/>
      <c r="D166" s="8"/>
      <c r="E166" s="6">
        <f t="shared" si="2"/>
        <v>21180</v>
      </c>
      <c r="F166" s="13">
        <f>22000</f>
        <v>22000</v>
      </c>
      <c r="G166" s="14">
        <f t="shared" si="3"/>
        <v>-820</v>
      </c>
      <c r="H166" s="6">
        <v>18720</v>
      </c>
      <c r="I166" s="24"/>
    </row>
    <row r="167" spans="1:9" x14ac:dyDescent="0.35">
      <c r="A167" s="4" t="s">
        <v>98</v>
      </c>
      <c r="B167" s="7">
        <f>SUBTOTAL(9,B116:B166)</f>
        <v>104213.95999999999</v>
      </c>
      <c r="C167" s="7">
        <f>SUBTOTAL(9,C116:C166)</f>
        <v>99000</v>
      </c>
      <c r="D167" s="7"/>
      <c r="E167" s="7">
        <f t="shared" si="2"/>
        <v>203213.96</v>
      </c>
      <c r="F167" s="15">
        <f>SUBTOTAL(9,F116:F166)</f>
        <v>298550</v>
      </c>
      <c r="G167" s="16">
        <f t="shared" si="3"/>
        <v>-95336.040000000008</v>
      </c>
      <c r="H167" s="7">
        <f>SUBTOTAL(9,H116:H166)</f>
        <v>381785.18000000005</v>
      </c>
      <c r="I167" s="24"/>
    </row>
    <row r="168" spans="1:9" x14ac:dyDescent="0.35">
      <c r="A168" s="4" t="s">
        <v>191</v>
      </c>
      <c r="B168" s="7">
        <f>((B73)+(B115))+(B167)</f>
        <v>117118.76999999999</v>
      </c>
      <c r="C168" s="7">
        <f>((C73)+(C115))+(C167)</f>
        <v>99000</v>
      </c>
      <c r="D168" s="7"/>
      <c r="E168" s="7">
        <f t="shared" si="2"/>
        <v>216118.77</v>
      </c>
      <c r="F168" s="15">
        <f>((F73)+(F115))+(F167)</f>
        <v>302355</v>
      </c>
      <c r="G168" s="16">
        <f t="shared" si="3"/>
        <v>-86236.23000000001</v>
      </c>
      <c r="H168" s="7">
        <f>((H73)+(H115))+(H167)</f>
        <v>432553.80000000005</v>
      </c>
      <c r="I168" s="24"/>
    </row>
    <row r="169" spans="1:9" x14ac:dyDescent="0.35">
      <c r="A169" s="4" t="s">
        <v>99</v>
      </c>
      <c r="B169" s="7">
        <f>(B60)-(B168)</f>
        <v>231550.4</v>
      </c>
      <c r="C169" s="7">
        <f>(C60)-(C168)</f>
        <v>-99000</v>
      </c>
      <c r="D169" s="7"/>
      <c r="E169" s="7">
        <f t="shared" si="2"/>
        <v>132550.39999999999</v>
      </c>
      <c r="F169" s="15">
        <f>(F60)-(F168)</f>
        <v>-62355</v>
      </c>
      <c r="G169" s="16">
        <f t="shared" si="3"/>
        <v>194905.4</v>
      </c>
      <c r="H169" s="7">
        <f>(H60)-(H168)</f>
        <v>-35575.940000000061</v>
      </c>
      <c r="I169" s="24"/>
    </row>
    <row r="170" spans="1:9" x14ac:dyDescent="0.35">
      <c r="A170" s="4" t="s">
        <v>192</v>
      </c>
      <c r="B170" s="6"/>
      <c r="C170" s="6"/>
      <c r="D170" s="8"/>
      <c r="E170" s="6">
        <f t="shared" si="2"/>
        <v>0</v>
      </c>
      <c r="F170" s="13"/>
      <c r="G170" s="14">
        <f t="shared" si="3"/>
        <v>0</v>
      </c>
      <c r="H170" s="6"/>
      <c r="I170" s="8"/>
    </row>
    <row r="171" spans="1:9" x14ac:dyDescent="0.35">
      <c r="A171" s="4" t="s">
        <v>193</v>
      </c>
      <c r="B171" s="6">
        <v>183.8</v>
      </c>
      <c r="C171" s="6"/>
      <c r="D171" s="8"/>
      <c r="E171" s="6">
        <f t="shared" si="2"/>
        <v>183.8</v>
      </c>
      <c r="F171" s="13">
        <f>0</f>
        <v>0</v>
      </c>
      <c r="G171" s="14">
        <f t="shared" si="3"/>
        <v>183.8</v>
      </c>
      <c r="H171" s="6">
        <v>171.72</v>
      </c>
      <c r="I171" s="24"/>
    </row>
    <row r="172" spans="1:9" x14ac:dyDescent="0.35">
      <c r="A172" s="4" t="s">
        <v>194</v>
      </c>
      <c r="B172" s="7">
        <f>B171</f>
        <v>183.8</v>
      </c>
      <c r="C172" s="7">
        <f>C171</f>
        <v>0</v>
      </c>
      <c r="D172" s="7"/>
      <c r="E172" s="7">
        <f t="shared" si="2"/>
        <v>183.8</v>
      </c>
      <c r="F172" s="15">
        <f>F171</f>
        <v>0</v>
      </c>
      <c r="G172" s="16">
        <f t="shared" si="3"/>
        <v>183.8</v>
      </c>
      <c r="H172" s="7">
        <f>H171</f>
        <v>171.72</v>
      </c>
      <c r="I172" s="24"/>
    </row>
    <row r="173" spans="1:9" hidden="1" x14ac:dyDescent="0.35">
      <c r="A173" s="4" t="s">
        <v>195</v>
      </c>
      <c r="B173" s="6"/>
      <c r="C173" s="6"/>
      <c r="D173" s="8"/>
      <c r="E173" s="6">
        <f t="shared" si="2"/>
        <v>0</v>
      </c>
      <c r="F173" s="13"/>
      <c r="G173" s="14">
        <f t="shared" si="3"/>
        <v>0</v>
      </c>
      <c r="H173" s="6"/>
      <c r="I173" s="8"/>
    </row>
    <row r="174" spans="1:9" hidden="1" x14ac:dyDescent="0.35">
      <c r="A174" s="4" t="s">
        <v>196</v>
      </c>
      <c r="B174" s="6"/>
      <c r="C174" s="6"/>
      <c r="D174" s="8"/>
      <c r="E174" s="6">
        <f t="shared" si="2"/>
        <v>0</v>
      </c>
      <c r="F174" s="13">
        <f>0</f>
        <v>0</v>
      </c>
      <c r="G174" s="14">
        <f t="shared" si="3"/>
        <v>0</v>
      </c>
      <c r="H174" s="6"/>
      <c r="I174" s="24"/>
    </row>
    <row r="175" spans="1:9" hidden="1" x14ac:dyDescent="0.35">
      <c r="A175" s="4" t="s">
        <v>197</v>
      </c>
      <c r="B175" s="7">
        <f>B174</f>
        <v>0</v>
      </c>
      <c r="C175" s="7">
        <f>C174</f>
        <v>0</v>
      </c>
      <c r="D175" s="7"/>
      <c r="E175" s="7">
        <f t="shared" si="2"/>
        <v>0</v>
      </c>
      <c r="F175" s="15">
        <f>F174</f>
        <v>0</v>
      </c>
      <c r="G175" s="16">
        <f t="shared" si="3"/>
        <v>0</v>
      </c>
      <c r="H175" s="7">
        <f>H174</f>
        <v>0</v>
      </c>
      <c r="I175" s="24"/>
    </row>
    <row r="176" spans="1:9" hidden="1" x14ac:dyDescent="0.35">
      <c r="A176" s="4" t="s">
        <v>198</v>
      </c>
      <c r="B176" s="7">
        <f>(B172)-(B175)</f>
        <v>183.8</v>
      </c>
      <c r="C176" s="7">
        <f>(C172)-(C175)</f>
        <v>0</v>
      </c>
      <c r="D176" s="7"/>
      <c r="E176" s="7">
        <f>B176+C176</f>
        <v>183.8</v>
      </c>
      <c r="F176" s="15">
        <f>(F172)-(F175)</f>
        <v>0</v>
      </c>
      <c r="G176" s="16">
        <f>(E176)-(F176)</f>
        <v>183.8</v>
      </c>
      <c r="H176" s="7">
        <f>(H172)-(H175)</f>
        <v>171.72</v>
      </c>
      <c r="I176" s="24"/>
    </row>
    <row r="177" spans="1:9" x14ac:dyDescent="0.35">
      <c r="A177" s="4" t="s">
        <v>199</v>
      </c>
      <c r="B177" s="7">
        <f>(B169)+(B176)</f>
        <v>231734.19999999998</v>
      </c>
      <c r="C177" s="7">
        <f>(C169)+(C176)</f>
        <v>-99000</v>
      </c>
      <c r="D177" s="7"/>
      <c r="E177" s="7">
        <f>B177+C177</f>
        <v>132734.19999999998</v>
      </c>
      <c r="F177" s="15">
        <f>(F169)+(F176)</f>
        <v>-62355</v>
      </c>
      <c r="G177" s="16">
        <f>(E177)-(F177)</f>
        <v>195089.19999999998</v>
      </c>
      <c r="H177" s="7">
        <f>(H169)+(H176)</f>
        <v>-35404.220000000059</v>
      </c>
      <c r="I177" s="24"/>
    </row>
    <row r="178" spans="1:9" ht="7.5" customHeight="1" x14ac:dyDescent="0.35">
      <c r="A178" s="4"/>
      <c r="B178" s="5"/>
      <c r="C178" s="5"/>
      <c r="D178" s="10"/>
      <c r="E178" s="5"/>
      <c r="F178" s="5"/>
      <c r="G178" s="5"/>
      <c r="H178" s="5"/>
      <c r="I178" s="10"/>
    </row>
    <row r="179" spans="1:9" x14ac:dyDescent="0.35">
      <c r="A179" s="4" t="s">
        <v>101</v>
      </c>
      <c r="B179" s="28"/>
    </row>
    <row r="180" spans="1:9" x14ac:dyDescent="0.35">
      <c r="A180" s="12" t="s">
        <v>200</v>
      </c>
    </row>
    <row r="181" spans="1:9" ht="7.5" customHeight="1" x14ac:dyDescent="0.35">
      <c r="A181" s="12"/>
    </row>
    <row r="182" spans="1:9" x14ac:dyDescent="0.35">
      <c r="A182" s="100" t="s">
        <v>201</v>
      </c>
      <c r="B182" s="100"/>
      <c r="C182" s="100"/>
      <c r="D182" s="100"/>
      <c r="E182" s="100"/>
      <c r="F182" s="100"/>
      <c r="G182" s="100"/>
      <c r="H182" s="100"/>
      <c r="I182" s="1"/>
    </row>
  </sheetData>
  <mergeCells count="5">
    <mergeCell ref="B5:H5"/>
    <mergeCell ref="A1:H1"/>
    <mergeCell ref="A2:H2"/>
    <mergeCell ref="A3:H3"/>
    <mergeCell ref="A182:H182"/>
  </mergeCells>
  <phoneticPr fontId="8" type="noConversion"/>
  <printOptions horizontalCentered="1"/>
  <pageMargins left="0.25" right="0.5" top="0.7" bottom="0.3" header="0.3" footer="0.3"/>
  <pageSetup scale="92" fitToHeight="0" orientation="portrait" r:id="rId1"/>
  <headerFooter>
    <oddFooter>&amp;RPage &amp;P of &amp;N</oddFooter>
  </headerFooter>
  <rowBreaks count="2" manualBreakCount="2">
    <brk id="60" max="16383" man="1"/>
    <brk id="1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FINAL 2016-2017</vt:lpstr>
      <vt:lpstr>Budget vs. Actuals  Budget 2015</vt:lpstr>
      <vt:lpstr>'FINAL 2016-2017'!Print_Area</vt:lpstr>
      <vt:lpstr>'Budget vs. Actuals  Budget 2015'!Print_Titles</vt:lpstr>
      <vt:lpstr>'FINAL 2016-2017'!Print_Titles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Kwon, Amy</cp:lastModifiedBy>
  <cp:lastPrinted>2017-08-21T04:22:00Z</cp:lastPrinted>
  <dcterms:created xsi:type="dcterms:W3CDTF">2015-10-04T21:35:55Z</dcterms:created>
  <dcterms:modified xsi:type="dcterms:W3CDTF">2017-08-21T04:32:27Z</dcterms:modified>
</cp:coreProperties>
</file>